
<file path=[Content_Types].xml><?xml version="1.0" encoding="utf-8"?>
<Types xmlns="http://schemas.openxmlformats.org/package/2006/content-types">
  <Override PartName="/xl/activeX/activeX2.bin" ContentType="application/vnd.ms-office.activeX"/>
  <Override PartName="/xl/activeX/activeX4.bin" ContentType="application/vnd.ms-office.activeX"/>
  <Override PartName="/xl/activeX/activeX9.xml" ContentType="application/vnd.ms-office.activeX+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7.xml" ContentType="application/vnd.ms-office.activeX+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activeX/activeX5.xml" ContentType="application/vnd.ms-office.activeX+xml"/>
  <Override PartName="/xl/activeX/activeX6.xml" ContentType="application/vnd.ms-office.activeX+xml"/>
  <Override PartName="/xl/charts/chart2.xml" ContentType="application/vnd.openxmlformats-officedocument.drawingml.chart+xml"/>
  <Override PartName="/xl/comments6.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xl/comments4.xml" ContentType="application/vnd.openxmlformats-officedocument.spreadsheetml.comments+xml"/>
  <Override PartName="/xl/comments5.xml" ContentType="application/vnd.openxmlformats-officedocument.spreadsheetml.comments+xml"/>
  <Override PartName="/xl/charts/chart1.xml" ContentType="application/vnd.openxmlformats-officedocument.drawingml.chart+xml"/>
  <Override PartName="/xl/activeX/activeX10.bin" ContentType="application/vnd.ms-office.activeX"/>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activeX/activeX1.xml" ContentType="application/vnd.ms-office.activeX+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activeX/activeX9.bin" ContentType="application/vnd.ms-office.activeX"/>
  <Override PartName="/xl/calcChain.xml" ContentType="application/vnd.openxmlformats-officedocument.spreadsheetml.calcChain+xml"/>
  <Override PartName="/xl/sharedStrings.xml" ContentType="application/vnd.openxmlformats-officedocument.spreadsheetml.sharedStrings+xml"/>
  <Override PartName="/xl/activeX/activeX7.bin" ContentType="application/vnd.ms-office.activeX"/>
  <Override PartName="/xl/activeX/activeX8.bin" ContentType="application/vnd.ms-office.activeX"/>
  <Override PartName="/xl/activeX/activeX10.xml" ContentType="application/vnd.ms-office.activeX+xml"/>
  <Override PartName="/xl/activeX/activeX5.bin" ContentType="application/vnd.ms-office.activeX"/>
  <Override PartName="/xl/activeX/activeX6.bin" ContentType="application/vnd.ms-office.activeX"/>
  <Override PartName="/docProps/core.xml" ContentType="application/vnd.openxmlformats-package.core-properties+xml"/>
  <Default Extension="bin" ContentType="application/vnd.openxmlformats-officedocument.spreadsheetml.printerSettings"/>
  <Override PartName="/xl/activeX/activeX3.bin" ContentType="application/vnd.ms-office.activeX"/>
  <Override PartName="/xl/activeX/activeX1.bin" ContentType="application/vnd.ms-office.activeX"/>
  <Override PartName="/xl/activeX/activeX8.xml" ContentType="application/vnd.ms-office.activeX+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45" windowWidth="15180" windowHeight="8265"/>
  </bookViews>
  <sheets>
    <sheet name="Start" sheetId="1" r:id="rId1"/>
    <sheet name="Step 1" sheetId="2" r:id="rId2"/>
    <sheet name="Step 2" sheetId="3" r:id="rId3"/>
    <sheet name="Step 3" sheetId="4" r:id="rId4"/>
    <sheet name="Step 4" sheetId="6" r:id="rId5"/>
    <sheet name="Step 5" sheetId="8" r:id="rId6"/>
    <sheet name="IC Params" sheetId="9" state="hidden" r:id="rId7"/>
    <sheet name="Rev History" sheetId="10" state="hidden" r:id="rId8"/>
    <sheet name="Type 2 PFC Data" sheetId="11" state="hidden" r:id="rId9"/>
    <sheet name="Step 2 Calc" sheetId="12" state="hidden" r:id="rId10"/>
    <sheet name="Step 3 Calc" sheetId="13" state="hidden" r:id="rId11"/>
    <sheet name="Step 4 Calc" sheetId="14" state="hidden" r:id="rId12"/>
  </sheets>
  <externalReferences>
    <externalReference r:id="rId13"/>
    <externalReference r:id="rId14"/>
  </externalReferences>
  <definedNames>
    <definedName name="Cbulk">'Step 3'!$G$20</definedName>
    <definedName name="CbulkII">'[1]Type 2 OTA'!$B$14</definedName>
    <definedName name="Cbulktol">'Step 3'!$G$18</definedName>
    <definedName name="Cclamp">[2]Step5!$C$6</definedName>
    <definedName name="Ccomp1">'Step 4'!$B$9</definedName>
    <definedName name="Ccomp1II">'[1]Type 2 OTA'!$B$41</definedName>
    <definedName name="Ccomp2">'Step 4'!$B$11</definedName>
    <definedName name="Ccomp2II">'[1]Type 2 OTA'!$B$45</definedName>
    <definedName name="Cff">[2]Step6!$J$23</definedName>
    <definedName name="Cin">#REF!</definedName>
    <definedName name="Cout">[2]Step4!$C$7</definedName>
    <definedName name="Ct">'Step 4 Calc'!$N$21</definedName>
    <definedName name="CtTol">'Step 3'!$B$5</definedName>
    <definedName name="DC">#REF!</definedName>
    <definedName name="DCmax">[2]Step1!$B$23</definedName>
    <definedName name="DCmin">[2]Step1!$B$22</definedName>
    <definedName name="deltaIpri">'Step 2'!$F$9</definedName>
    <definedName name="Dmax">'Step 2'!$B$12</definedName>
    <definedName name="Dmax2">'Step 2'!$F$8</definedName>
    <definedName name="f">[2]Step1!$B$11</definedName>
    <definedName name="fcross">'Step 4'!$B$6</definedName>
    <definedName name="fcrosstyp">'Step 4'!$F$4</definedName>
    <definedName name="Feff">'Step 1'!$B$35</definedName>
    <definedName name="Feff2">'Step 1'!$F$14</definedName>
    <definedName name="fmax">'Step 1'!$B$7</definedName>
    <definedName name="fmin">'Step 1'!$B$6</definedName>
    <definedName name="fOSC">'IC Params'!#REF!</definedName>
    <definedName name="fpolepfc">'Step 4 Calc'!$B$16</definedName>
    <definedName name="fswmin">'Step 1'!$B$18</definedName>
    <definedName name="Ftol">'Step 2'!$F$4</definedName>
    <definedName name="Ftol2">'Step 2'!$B$13</definedName>
    <definedName name="fzero1">'Step 4 Calc'!$B$18</definedName>
    <definedName name="fzeroesr">'Step 4 Calc'!$B$15</definedName>
    <definedName name="G0">'Step 4 Calc'!$B$14</definedName>
    <definedName name="gm">'IC Params'!$C$10</definedName>
    <definedName name="gmmax">'IC Params'!$D$10</definedName>
    <definedName name="gmmin">'IC Params'!$B$10</definedName>
    <definedName name="Iaux">'Step 1'!#REF!</definedName>
    <definedName name="Ichargecomp">'Step 4 Calc'!$B$11</definedName>
    <definedName name="Ichargehl">'IC Params'!$C$19</definedName>
    <definedName name="Ichargehlmax">'IC Params'!$D$19</definedName>
    <definedName name="Ichargehlmin">'IC Params'!$B$19</definedName>
    <definedName name="Ichargell">'IC Params'!$C$18</definedName>
    <definedName name="Ichargellmax">'IC Params'!$D$18</definedName>
    <definedName name="Ichargellmin">'IC Params'!$B$18</definedName>
    <definedName name="Ichargemax">'IC Params'!$D$18</definedName>
    <definedName name="Iclnegmin">'IC Params'!$B$20</definedName>
    <definedName name="Iclposmin">'IC Params'!$B$21</definedName>
    <definedName name="Icoilpeak">'Step 5'!$C$15</definedName>
    <definedName name="Icoilpeakmax">'Step 5'!$C$14</definedName>
    <definedName name="Icoilrms">'Step 5'!$C$16</definedName>
    <definedName name="Icskipc">[2]Data3!$B$89</definedName>
    <definedName name="Icskipd">[2]Data3!$B$90</definedName>
    <definedName name="Idiodepeakmaxpfc">'Step 5'!$C$5</definedName>
    <definedName name="Idiodermspfc">'Step 5'!$C$6</definedName>
    <definedName name="Idivider">'Step 3'!$G$5</definedName>
    <definedName name="Idividerfb">#REF!</definedName>
    <definedName name="Ilboostmax">'Step 5'!$R$4</definedName>
    <definedName name="Ilboostpeak">'Step 5'!$C$15</definedName>
    <definedName name="Ilboostrms">'Step 5'!$R$6</definedName>
    <definedName name="Imagll">[2]Data2!$K$34</definedName>
    <definedName name="Imin1">'Step 5'!$N$39</definedName>
    <definedName name="Imin2">'Step 5'!$O$39</definedName>
    <definedName name="Iminaux">'Step 5'!$P$39</definedName>
    <definedName name="Iocp">'Step 3'!$G$12</definedName>
    <definedName name="Iocpmax">'Step 3'!$D$19</definedName>
    <definedName name="Iocpmin">'Step 3'!$B$19</definedName>
    <definedName name="Iocpnom">#REF!</definedName>
    <definedName name="Iocptyp">'Step 3'!$C$19</definedName>
    <definedName name="Ioffsetuvov">[2]Data3!$B$11</definedName>
    <definedName name="Iout">'Step 4 Calc'!$B$9</definedName>
    <definedName name="Iout1">'Step 1'!#REF!</definedName>
    <definedName name="Iout2">'Step 1'!#REF!</definedName>
    <definedName name="IOVUV">'IC Params'!#REF!</definedName>
    <definedName name="Ipeak1">'Step 5'!$H$5</definedName>
    <definedName name="Ipeak2">'Step 5'!$I$5</definedName>
    <definedName name="Ipeakaux">'Step 5'!$J$5</definedName>
    <definedName name="Ipeakmax">#REF!</definedName>
    <definedName name="Ipfb">'IC Params'!$C$9</definedName>
    <definedName name="Ipfbmax">'IC Params'!$D$9</definedName>
    <definedName name="Ipfbmin">'IC Params'!$B$9</definedName>
    <definedName name="Ipripeak">'Step 2'!$F$10</definedName>
    <definedName name="Iprirms">'Step 5'!$H$16</definedName>
    <definedName name="Ipzcdmaxneg">'IC Params'!$B$7</definedName>
    <definedName name="Ipzcdmaxpos">'IC Params'!$D$7</definedName>
    <definedName name="Irampmax">'IC Params'!#REF!</definedName>
    <definedName name="Irampmaxmax">'IC Params'!#REF!</definedName>
    <definedName name="Irampmaxmin">'IC Params'!#REF!</definedName>
    <definedName name="Iripmax">[2]Step2!$C$7</definedName>
    <definedName name="Irms1">'Step 5'!$H$6</definedName>
    <definedName name="Irms2">'Step 5'!$I$6</definedName>
    <definedName name="Irmsaux">'Step 5'!$J$6</definedName>
    <definedName name="Iskip">'IC Params'!$C$4</definedName>
    <definedName name="Issc">[2]Data3!$B$91</definedName>
    <definedName name="Iswitchpeakmaxpfc">'Step 5'!$C$10</definedName>
    <definedName name="Iswitchrmsfb">'Step 5'!$H$11</definedName>
    <definedName name="Iswitchrmspfc">'Step 5'!$C$11</definedName>
    <definedName name="K0">'Step 4 Calc'!$B$13</definedName>
    <definedName name="K0II">'[1]Type 2 OTA'!$B$31</definedName>
    <definedName name="Kclamp">'Step 1'!$F$23</definedName>
    <definedName name="Kderdiode">'Step 1'!$B$37</definedName>
    <definedName name="Kderdiode2">'Step 1'!$F$7</definedName>
    <definedName name="Kdermos">'Step 1'!$B$36</definedName>
    <definedName name="Kdermos2">'Step 1'!$F$6</definedName>
    <definedName name="Ksnub">'Step 1'!$F$24</definedName>
    <definedName name="Lboost">'Step 2'!$B$6</definedName>
    <definedName name="Lmag">[2]Step2!$J$4</definedName>
    <definedName name="Lout">#REF!</definedName>
    <definedName name="Lpri">'Step 2'!$F$7</definedName>
    <definedName name="Ltol">'Step 2'!$B$4</definedName>
    <definedName name="NpNs1">'Step 1'!$F$8</definedName>
    <definedName name="NpNs2">'Step 1'!$G$8</definedName>
    <definedName name="NpNsaux">'Step 1'!$H$8</definedName>
    <definedName name="Ns">[2]Step8!$E$4</definedName>
    <definedName name="OVP">'Step 1'!#REF!</definedName>
    <definedName name="OVPmax">'Step 1'!#REF!</definedName>
    <definedName name="OVPmin">'Step 1'!#REF!</definedName>
    <definedName name="Pconductionpfc">'Step 5'!$C$13</definedName>
    <definedName name="Pdiodepfc">'Step 5'!$C$8</definedName>
    <definedName name="Peff">'Step 1'!$B$34</definedName>
    <definedName name="Peff2">'Step 1'!$B$19</definedName>
    <definedName name="Pinfb">'Step 1'!$F$11</definedName>
    <definedName name="Plimit">'Step 1'!$B$17</definedName>
    <definedName name="PM">'Step 4'!$B$7</definedName>
    <definedName name="PMtyp">'Step 4'!$F$5</definedName>
    <definedName name="Pout">'Step 1'!$B$15</definedName>
    <definedName name="Poutbcm">'Step 2'!$F$5</definedName>
    <definedName name="Poutdesign">'Step 4'!$B$5</definedName>
    <definedName name="Poutfb">'Step 1'!$F$10</definedName>
    <definedName name="Poutmax">'Step 1'!$B$16</definedName>
    <definedName name="Poutocp">'Step 1'!$B$17</definedName>
    <definedName name="Poutpfc">'Step 1'!$B$15</definedName>
    <definedName name="Prpsense">#REF!</definedName>
    <definedName name="PSKIP">#REF!</definedName>
    <definedName name="R0">'Step 4 Calc'!$B$12</definedName>
    <definedName name="R0II">'[1]Type 2 OTA'!$B$30</definedName>
    <definedName name="RbulkII">'[1]Type 2 OTA'!$B$15</definedName>
    <definedName name="Rcbulk">'Step 3'!$G$21</definedName>
    <definedName name="Rcomp1">'Step 4'!$B$10</definedName>
    <definedName name="Rcomp1II">'[1]Type 2 OTA'!$B$43</definedName>
    <definedName name="Rdcrcoil">'Step 5'!$C$17</definedName>
    <definedName name="Rdcrpri">'Step 5'!$H$17</definedName>
    <definedName name="Rdsonfb">'Step 5'!$H$12</definedName>
    <definedName name="Rdsonpfc">'Step 5'!$C$12</definedName>
    <definedName name="rectrdson">#REF!</definedName>
    <definedName name="Rfbtol">'Step 3'!$G$4</definedName>
    <definedName name="Rff">[2]Step6!$J$19</definedName>
    <definedName name="Rffblower">#REF!</definedName>
    <definedName name="Rffbtol">#REF!</definedName>
    <definedName name="Rffbupper">#REF!</definedName>
    <definedName name="Rfsense">#REF!</definedName>
    <definedName name="Rfsensetol">#REF!</definedName>
    <definedName name="Rload">'Step 4 Calc'!$B$10</definedName>
    <definedName name="RloadII">'[1]Type 2 OTA'!$B$28</definedName>
    <definedName name="Rovplower">#REF!</definedName>
    <definedName name="Rovplowertol">#REF!</definedName>
    <definedName name="Rovptol">#REF!</definedName>
    <definedName name="Rovpupper">#REF!</definedName>
    <definedName name="Rovpuppertol">#REF!</definedName>
    <definedName name="Rpfblower">'Step 3'!$G$9</definedName>
    <definedName name="Rpfblowertol">#REF!</definedName>
    <definedName name="Rpfbupper">'Step 3'!$G$7</definedName>
    <definedName name="Rpfbuppertol">#REF!</definedName>
    <definedName name="Rpsense">'Step 3'!$G$15</definedName>
    <definedName name="Rpsensetol">'Step 3'!$G$13</definedName>
    <definedName name="Rpskip">#REF!</definedName>
    <definedName name="Ruvov1">#REF!</definedName>
    <definedName name="Ruvov2">#REF!</definedName>
    <definedName name="Rzcd">'Step 3'!$B$12</definedName>
    <definedName name="Rzcdtol">'Step 3'!$B$10</definedName>
    <definedName name="switchrdson">#REF!</definedName>
    <definedName name="td">[2]Step4!$B$23</definedName>
    <definedName name="tonHL">'IC Params'!$C$27</definedName>
    <definedName name="tonHLmax">'IC Params'!$D$27</definedName>
    <definedName name="tonHLmin">'IC Params'!$B$27</definedName>
    <definedName name="tonLL">'IC Params'!$C$26</definedName>
    <definedName name="tonLLmax">'IC Params'!$D$26</definedName>
    <definedName name="tonLLmin">'IC Params'!$B$26</definedName>
    <definedName name="tonmax">#REF!</definedName>
    <definedName name="tonmaxmin">'Step 3'!$B$4</definedName>
    <definedName name="tonmaxminHL">'Step 3'!$B$5</definedName>
    <definedName name="UVP">'Step 1'!#REF!</definedName>
    <definedName name="UVPmax">'Step 1'!#REF!</definedName>
    <definedName name="UVPmin">'Step 1'!#REF!</definedName>
    <definedName name="Vacmax">'Step 1'!$B$5</definedName>
    <definedName name="Vacmin">'Step 1'!$B$4</definedName>
    <definedName name="Vaux">'Step 1'!#REF!</definedName>
    <definedName name="Vbulk">'Step 1'!$B$11</definedName>
    <definedName name="Vbulkmax">'Step 1'!$B$12</definedName>
    <definedName name="Vbulkmin">'Step 1'!$B$10</definedName>
    <definedName name="Vbulknom">'Step 3'!$C$18</definedName>
    <definedName name="Vbulkripplemax">'Step 3'!$D$17</definedName>
    <definedName name="Vbulkripplemin">'Step 3'!$B$17</definedName>
    <definedName name="Vbvdss">'Step 1'!$F$19</definedName>
    <definedName name="Vbvdssfb">'Step 1'!$F$19</definedName>
    <definedName name="Vbvdsspfc">'Step 1'!$F$4</definedName>
    <definedName name="Vctmax">'IC Params'!$C$3</definedName>
    <definedName name="Vctmaxmax">'IC Params'!$D$3</definedName>
    <definedName name="Vctmaxmin">'IC Params'!$B$3</definedName>
    <definedName name="Vfwd1">'Step 1'!#REF!</definedName>
    <definedName name="Vfwd2">'Step 1'!#REF!</definedName>
    <definedName name="Vfwdaux">'Step 1'!#REF!</definedName>
    <definedName name="Vfwdpfc">'Step 5'!$C$7</definedName>
    <definedName name="Vilim">'IC Params'!#REF!</definedName>
    <definedName name="Vilimmax">'IC Params'!#REF!</definedName>
    <definedName name="Vilimmin">'IC Params'!#REF!</definedName>
    <definedName name="Vindesign">'Step 4'!$B$4</definedName>
    <definedName name="Vinmax">'Step 1'!$H$13</definedName>
    <definedName name="Vinmin">'Step 1'!$F$13</definedName>
    <definedName name="Vinnom">'Step 1'!$G$13</definedName>
    <definedName name="Vinstandby">'Step 1'!$F$12</definedName>
    <definedName name="Vocp">'IC Params'!$C$24</definedName>
    <definedName name="Vocpmax">'IC Params'!$D$24</definedName>
    <definedName name="Vocpmin">'IC Params'!$B$24</definedName>
    <definedName name="Vout1">'Step 1'!#REF!</definedName>
    <definedName name="Vout2">'Step 1'!#REF!</definedName>
    <definedName name="Vov">[2]Data3!$B$8</definedName>
    <definedName name="Vovh">[2]Data3!$E$8</definedName>
    <definedName name="Vovp">'IC Params'!$C$14</definedName>
    <definedName name="Vovpmax">'IC Params'!$D$14</definedName>
    <definedName name="Vovpmin">'IC Params'!$B$14</definedName>
    <definedName name="Vref">'IC Params'!$C$8</definedName>
    <definedName name="Vreffb">#REF!</definedName>
    <definedName name="Vreffbtol">#REF!</definedName>
    <definedName name="Vrefmax">'IC Params'!$D$8</definedName>
    <definedName name="Vrefmin">'IC Params'!$B$8</definedName>
    <definedName name="Vreftol">'IC Params'!#REF!</definedName>
    <definedName name="Vripple">'Step 1'!$B$13</definedName>
    <definedName name="Vrrm1">'Step 1'!$F$20</definedName>
    <definedName name="Vrrm2">'Step 1'!$G$20</definedName>
    <definedName name="Vrrmaux">'Step 1'!$H$20</definedName>
    <definedName name="Vrrmpfc">'Step 1'!$F$5</definedName>
    <definedName name="Vskip">#REF!</definedName>
    <definedName name="Vsovp">'IC Params'!$C$15</definedName>
    <definedName name="Vsovpmax">'IC Params'!$D$15</definedName>
    <definedName name="Vsovpmin">'IC Params'!$B$15</definedName>
    <definedName name="Vsuvp">'IC Params'!$C$17</definedName>
    <definedName name="Vsuvpmax">'IC Params'!$D$17</definedName>
    <definedName name="Vsuvpmin">'IC Params'!$B$17</definedName>
    <definedName name="Vuv">[2]Data3!$B$5</definedName>
    <definedName name="Vuvh">[2]Data3!$E$5</definedName>
    <definedName name="VUVP">'IC Params'!$C$16</definedName>
    <definedName name="Vuvpmax">'IC Params'!$D$16</definedName>
    <definedName name="Vuvpmin">'IC Params'!$B$16</definedName>
    <definedName name="Vwinding1">'Step 1'!$B$38</definedName>
    <definedName name="Vwinding2">'Step 1'!$B$39</definedName>
    <definedName name="Vwindingaux">'Step 1'!$B$40</definedName>
    <definedName name="Vzcdhmax">'IC Params'!$D$5</definedName>
    <definedName name="Vzcdoffmax">'Step 1'!$B$23</definedName>
    <definedName name="Vzcdoffmin">'Step 1'!$B$22</definedName>
    <definedName name="Vzcdonmax">'Step 1'!$B$24</definedName>
    <definedName name="ZCDratio">'Step 1'!$B$21</definedName>
  </definedNames>
  <calcPr calcId="125725"/>
  <customWorkbookViews>
    <customWorkbookView name="ON Semiconductor - Personal View" guid="{5C4C4562-8D75-44A5-9C48-D483FC9D01A7}" mergeInterval="0" personalView="1" maximized="1" xWindow="1" yWindow="1" windowWidth="1596" windowHeight="682" activeSheetId="2"/>
  </customWorkbookViews>
</workbook>
</file>

<file path=xl/calcChain.xml><?xml version="1.0" encoding="utf-8"?>
<calcChain xmlns="http://schemas.openxmlformats.org/spreadsheetml/2006/main">
  <c r="O36" i="14"/>
  <c r="N12"/>
  <c r="N11"/>
  <c r="N13"/>
  <c r="N10"/>
  <c r="N9"/>
  <c r="N27"/>
  <c r="N26"/>
  <c r="N25"/>
  <c r="N24"/>
  <c r="N23"/>
  <c r="N22"/>
  <c r="N20"/>
  <c r="B3" l="1"/>
  <c r="B4"/>
  <c r="B17" i="9"/>
  <c r="D17"/>
  <c r="B15"/>
  <c r="D15"/>
  <c r="B14"/>
  <c r="D14"/>
  <c r="B10" i="2"/>
  <c r="B12"/>
  <c r="B15"/>
  <c r="B13" i="3"/>
  <c r="N36" i="8"/>
  <c r="N34"/>
  <c r="O36"/>
  <c r="P36"/>
  <c r="P34"/>
  <c r="O34"/>
  <c r="G6" i="4"/>
  <c r="G19" l="1"/>
  <c r="E31" i="14"/>
  <c r="F31"/>
  <c r="G31"/>
  <c r="D31"/>
  <c r="B31"/>
  <c r="C31"/>
  <c r="B5"/>
  <c r="B23" i="4"/>
  <c r="C23"/>
  <c r="D23"/>
  <c r="B24"/>
  <c r="C24"/>
  <c r="D24"/>
  <c r="B22"/>
  <c r="C22"/>
  <c r="D22"/>
  <c r="D21"/>
  <c r="C21"/>
  <c r="B21"/>
  <c r="C18"/>
  <c r="D19"/>
  <c r="B19"/>
  <c r="C19"/>
  <c r="G8"/>
  <c r="B40" i="2"/>
  <c r="P35" i="8" s="1"/>
  <c r="B39" i="2"/>
  <c r="O35" i="8" s="1"/>
  <c r="B38" i="2"/>
  <c r="N35" i="8" l="1"/>
  <c r="C5"/>
  <c r="C10"/>
  <c r="C14"/>
  <c r="B24" i="2"/>
  <c r="B23"/>
  <c r="B22"/>
  <c r="B20"/>
  <c r="B37"/>
  <c r="B36"/>
  <c r="F5"/>
  <c r="F4"/>
  <c r="C9" i="8" s="1"/>
  <c r="B35" i="2"/>
  <c r="B12" i="3" l="1"/>
  <c r="N33" i="8" s="1"/>
  <c r="P33"/>
  <c r="C4"/>
  <c r="B14" i="4"/>
  <c r="B13"/>
  <c r="L7" i="11"/>
  <c r="L6"/>
  <c r="L5"/>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B4"/>
  <c r="B3"/>
  <c r="L3" s="1"/>
  <c r="B2"/>
  <c r="N37" i="8" l="1"/>
  <c r="N38" s="1"/>
  <c r="N39" s="1"/>
  <c r="P37"/>
  <c r="P38" s="1"/>
  <c r="O37"/>
  <c r="O33"/>
  <c r="D17" i="4"/>
  <c r="B17"/>
  <c r="L10" i="11"/>
  <c r="L9"/>
  <c r="O38" i="8" l="1"/>
  <c r="O39" s="1"/>
  <c r="P39"/>
  <c r="D18" i="4"/>
  <c r="B18"/>
  <c r="F24" i="14"/>
  <c r="B11"/>
  <c r="B15"/>
  <c r="C34"/>
  <c r="D34"/>
  <c r="E34"/>
  <c r="F34"/>
  <c r="G34"/>
  <c r="B34"/>
  <c r="C32"/>
  <c r="C33" s="1"/>
  <c r="N19"/>
  <c r="N16"/>
  <c r="N18"/>
  <c r="N17"/>
  <c r="B7" i="13"/>
  <c r="B8" i="12"/>
  <c r="B34" i="2"/>
  <c r="B5" i="4" s="1"/>
  <c r="B8" i="13"/>
  <c r="B12"/>
  <c r="B3"/>
  <c r="B9" i="12"/>
  <c r="B18" i="14"/>
  <c r="C35" l="1"/>
  <c r="C11" i="8"/>
  <c r="C13" s="1"/>
  <c r="C16"/>
  <c r="B4" i="4"/>
  <c r="G12"/>
  <c r="G14" s="1"/>
  <c r="C20"/>
  <c r="B20"/>
  <c r="D20"/>
  <c r="B5" i="12"/>
  <c r="B13"/>
  <c r="B8" i="3"/>
  <c r="B7"/>
  <c r="B12" i="12"/>
  <c r="C6" i="8"/>
  <c r="C15"/>
  <c r="B4" i="12"/>
  <c r="B11" i="13"/>
  <c r="D32" i="14"/>
  <c r="D33" s="1"/>
  <c r="D35" s="1"/>
  <c r="B4" i="13"/>
  <c r="B9" i="14"/>
  <c r="B10" s="1"/>
  <c r="B13" s="1"/>
  <c r="F32"/>
  <c r="F33" s="1"/>
  <c r="F35" s="1"/>
  <c r="E32"/>
  <c r="E33" s="1"/>
  <c r="E35" s="1"/>
  <c r="B32"/>
  <c r="B33" s="1"/>
  <c r="B35" s="1"/>
  <c r="B8"/>
  <c r="G32"/>
  <c r="G33" s="1"/>
  <c r="G35" s="1"/>
  <c r="B12"/>
  <c r="L4" i="11" s="1"/>
  <c r="L8" s="1"/>
  <c r="C36" i="14"/>
  <c r="G36" l="1"/>
  <c r="E36"/>
  <c r="B16"/>
  <c r="B24" s="1"/>
  <c r="C8" i="8"/>
  <c r="C18"/>
  <c r="C20"/>
  <c r="C19"/>
  <c r="D36" i="14"/>
  <c r="D37" s="1"/>
  <c r="G4" i="6" s="1"/>
  <c r="G26" i="11"/>
  <c r="G14"/>
  <c r="G17"/>
  <c r="D11"/>
  <c r="D3"/>
  <c r="G49"/>
  <c r="G41"/>
  <c r="G33"/>
  <c r="D9"/>
  <c r="D53"/>
  <c r="D37"/>
  <c r="G9"/>
  <c r="G21"/>
  <c r="G12"/>
  <c r="D18"/>
  <c r="G20"/>
  <c r="D39"/>
  <c r="G38"/>
  <c r="G34"/>
  <c r="D16"/>
  <c r="D24"/>
  <c r="D32"/>
  <c r="D40"/>
  <c r="D48"/>
  <c r="D56"/>
  <c r="D21"/>
  <c r="D29"/>
  <c r="G44"/>
  <c r="D27"/>
  <c r="D15"/>
  <c r="G5"/>
  <c r="D12"/>
  <c r="D6"/>
  <c r="D50"/>
  <c r="D42"/>
  <c r="D34"/>
  <c r="D26"/>
  <c r="G2"/>
  <c r="D41"/>
  <c r="G10"/>
  <c r="G25"/>
  <c r="D19"/>
  <c r="D22"/>
  <c r="L11"/>
  <c r="G30"/>
  <c r="D35"/>
  <c r="D31"/>
  <c r="G15"/>
  <c r="G23"/>
  <c r="G31"/>
  <c r="G39"/>
  <c r="G47"/>
  <c r="G55"/>
  <c r="D17"/>
  <c r="G28"/>
  <c r="G40"/>
  <c r="G18"/>
  <c r="G8"/>
  <c r="D13"/>
  <c r="D8"/>
  <c r="G53"/>
  <c r="G45"/>
  <c r="G37"/>
  <c r="G29"/>
  <c r="D5"/>
  <c r="D45"/>
  <c r="G13"/>
  <c r="G3"/>
  <c r="G22"/>
  <c r="G6"/>
  <c r="L12"/>
  <c r="G46"/>
  <c r="D55"/>
  <c r="G54"/>
  <c r="G50"/>
  <c r="D20"/>
  <c r="D28"/>
  <c r="D36"/>
  <c r="D44"/>
  <c r="D52"/>
  <c r="G16"/>
  <c r="D25"/>
  <c r="G36"/>
  <c r="G52"/>
  <c r="G56"/>
  <c r="D23"/>
  <c r="G11"/>
  <c r="D14"/>
  <c r="D10"/>
  <c r="D54"/>
  <c r="D46"/>
  <c r="D38"/>
  <c r="D30"/>
  <c r="D7"/>
  <c r="D49"/>
  <c r="D33"/>
  <c r="G4"/>
  <c r="D4"/>
  <c r="G7"/>
  <c r="L13"/>
  <c r="D43"/>
  <c r="G42"/>
  <c r="D51"/>
  <c r="D47"/>
  <c r="G19"/>
  <c r="G27"/>
  <c r="G35"/>
  <c r="G43"/>
  <c r="G51"/>
  <c r="D2"/>
  <c r="G24"/>
  <c r="G32"/>
  <c r="G48"/>
  <c r="B36" i="14"/>
  <c r="B37" s="1"/>
  <c r="F36"/>
  <c r="F37" s="1"/>
  <c r="F38" s="1"/>
  <c r="G37"/>
  <c r="G38" s="1"/>
  <c r="E37"/>
  <c r="E38" s="1"/>
  <c r="C37"/>
  <c r="C38" s="1"/>
  <c r="B17"/>
  <c r="D38" l="1"/>
  <c r="G5" i="6" s="1"/>
  <c r="B38" i="14"/>
  <c r="E5" i="6" s="1"/>
  <c r="E4"/>
  <c r="F22" i="14"/>
  <c r="F6" i="11"/>
  <c r="H6" s="1"/>
  <c r="F10"/>
  <c r="H10" s="1"/>
  <c r="F14"/>
  <c r="H14" s="1"/>
  <c r="F18"/>
  <c r="H18" s="1"/>
  <c r="F22"/>
  <c r="H22" s="1"/>
  <c r="F26"/>
  <c r="H26" s="1"/>
  <c r="F30"/>
  <c r="H30" s="1"/>
  <c r="F34"/>
  <c r="H34" s="1"/>
  <c r="F38"/>
  <c r="H38" s="1"/>
  <c r="F42"/>
  <c r="H42" s="1"/>
  <c r="F46"/>
  <c r="H46" s="1"/>
  <c r="F50"/>
  <c r="H50" s="1"/>
  <c r="F54"/>
  <c r="H54" s="1"/>
  <c r="C3"/>
  <c r="E3" s="1"/>
  <c r="C7"/>
  <c r="E7" s="1"/>
  <c r="C11"/>
  <c r="E11" s="1"/>
  <c r="C15"/>
  <c r="E15" s="1"/>
  <c r="C19"/>
  <c r="E19" s="1"/>
  <c r="C23"/>
  <c r="E23" s="1"/>
  <c r="C27"/>
  <c r="E27" s="1"/>
  <c r="C31"/>
  <c r="E31" s="1"/>
  <c r="C35"/>
  <c r="E35" s="1"/>
  <c r="C39"/>
  <c r="E39" s="1"/>
  <c r="C43"/>
  <c r="E43" s="1"/>
  <c r="C47"/>
  <c r="E47" s="1"/>
  <c r="C51"/>
  <c r="E51" s="1"/>
  <c r="F5"/>
  <c r="H5" s="1"/>
  <c r="F9"/>
  <c r="H9" s="1"/>
  <c r="F13"/>
  <c r="H13" s="1"/>
  <c r="F17"/>
  <c r="H17" s="1"/>
  <c r="F21"/>
  <c r="H21" s="1"/>
  <c r="F25"/>
  <c r="H25" s="1"/>
  <c r="F29"/>
  <c r="H29" s="1"/>
  <c r="F33"/>
  <c r="H33" s="1"/>
  <c r="F37"/>
  <c r="H37" s="1"/>
  <c r="F41"/>
  <c r="H41" s="1"/>
  <c r="F45"/>
  <c r="H45" s="1"/>
  <c r="F49"/>
  <c r="H49" s="1"/>
  <c r="F53"/>
  <c r="H53" s="1"/>
  <c r="F2"/>
  <c r="H2" s="1"/>
  <c r="C6"/>
  <c r="E6" s="1"/>
  <c r="C10"/>
  <c r="E10" s="1"/>
  <c r="C14"/>
  <c r="E14" s="1"/>
  <c r="C18"/>
  <c r="E18" s="1"/>
  <c r="C22"/>
  <c r="E22" s="1"/>
  <c r="C26"/>
  <c r="E26" s="1"/>
  <c r="C30"/>
  <c r="E30" s="1"/>
  <c r="C34"/>
  <c r="E34" s="1"/>
  <c r="C38"/>
  <c r="E38" s="1"/>
  <c r="C42"/>
  <c r="E42" s="1"/>
  <c r="C46"/>
  <c r="E46" s="1"/>
  <c r="C50"/>
  <c r="E50" s="1"/>
  <c r="C54"/>
  <c r="E54" s="1"/>
  <c r="C2"/>
  <c r="E2" s="1"/>
  <c r="F4"/>
  <c r="H4" s="1"/>
  <c r="F8"/>
  <c r="H8" s="1"/>
  <c r="F12"/>
  <c r="H12" s="1"/>
  <c r="F16"/>
  <c r="H16" s="1"/>
  <c r="F20"/>
  <c r="H20" s="1"/>
  <c r="F24"/>
  <c r="H24" s="1"/>
  <c r="F28"/>
  <c r="H28" s="1"/>
  <c r="F32"/>
  <c r="H32" s="1"/>
  <c r="F36"/>
  <c r="H36" s="1"/>
  <c r="F40"/>
  <c r="H40" s="1"/>
  <c r="F44"/>
  <c r="H44" s="1"/>
  <c r="F48"/>
  <c r="H48" s="1"/>
  <c r="F52"/>
  <c r="H52" s="1"/>
  <c r="F56"/>
  <c r="H56" s="1"/>
  <c r="C5"/>
  <c r="E5" s="1"/>
  <c r="C9"/>
  <c r="E9" s="1"/>
  <c r="C13"/>
  <c r="E13" s="1"/>
  <c r="C17"/>
  <c r="E17" s="1"/>
  <c r="C21"/>
  <c r="E21" s="1"/>
  <c r="C25"/>
  <c r="E25" s="1"/>
  <c r="C29"/>
  <c r="E29" s="1"/>
  <c r="C33"/>
  <c r="E33" s="1"/>
  <c r="C37"/>
  <c r="E37" s="1"/>
  <c r="C41"/>
  <c r="E41" s="1"/>
  <c r="C45"/>
  <c r="E45" s="1"/>
  <c r="C49"/>
  <c r="E49" s="1"/>
  <c r="C53"/>
  <c r="E53" s="1"/>
  <c r="C55"/>
  <c r="E55" s="1"/>
  <c r="F3"/>
  <c r="H3" s="1"/>
  <c r="F7"/>
  <c r="H7" s="1"/>
  <c r="F11"/>
  <c r="H11" s="1"/>
  <c r="F15"/>
  <c r="H15" s="1"/>
  <c r="F19"/>
  <c r="H19" s="1"/>
  <c r="F23"/>
  <c r="H23" s="1"/>
  <c r="F27"/>
  <c r="H27" s="1"/>
  <c r="F31"/>
  <c r="H31" s="1"/>
  <c r="F35"/>
  <c r="H35" s="1"/>
  <c r="F39"/>
  <c r="H39" s="1"/>
  <c r="F43"/>
  <c r="H43" s="1"/>
  <c r="F47"/>
  <c r="H47" s="1"/>
  <c r="F51"/>
  <c r="H51" s="1"/>
  <c r="F55"/>
  <c r="H55" s="1"/>
  <c r="C4"/>
  <c r="E4" s="1"/>
  <c r="C8"/>
  <c r="E8" s="1"/>
  <c r="C12"/>
  <c r="E12" s="1"/>
  <c r="C16"/>
  <c r="E16" s="1"/>
  <c r="C20"/>
  <c r="E20" s="1"/>
  <c r="C24"/>
  <c r="E24" s="1"/>
  <c r="C28"/>
  <c r="E28" s="1"/>
  <c r="C32"/>
  <c r="E32" s="1"/>
  <c r="C36"/>
  <c r="E36" s="1"/>
  <c r="C40"/>
  <c r="E40" s="1"/>
  <c r="C44"/>
  <c r="E44" s="1"/>
  <c r="C48"/>
  <c r="E48" s="1"/>
  <c r="C52"/>
  <c r="E52" s="1"/>
  <c r="C56"/>
  <c r="E56" s="1"/>
  <c r="B19" i="14"/>
  <c r="F4" i="6" s="1"/>
  <c r="B22" i="14"/>
  <c r="B14"/>
  <c r="B39" l="1"/>
  <c r="B26"/>
  <c r="B20"/>
  <c r="F5" i="6" s="1"/>
</calcChain>
</file>

<file path=xl/comments1.xml><?xml version="1.0" encoding="utf-8"?>
<comments xmlns="http://schemas.openxmlformats.org/spreadsheetml/2006/main">
  <authors>
    <author>ON Semiconductor</author>
  </authors>
  <commentList>
    <comment ref="D9" authorId="0">
      <text>
        <r>
          <rPr>
            <b/>
            <sz val="8"/>
            <color indexed="81"/>
            <rFont val="Tahoma"/>
            <family val="2"/>
          </rPr>
          <t>ON Semiconductor:</t>
        </r>
        <r>
          <rPr>
            <sz val="8"/>
            <color indexed="81"/>
            <rFont val="Tahoma"/>
            <family val="2"/>
          </rPr>
          <t xml:space="preserve">
</t>
        </r>
      </text>
    </comment>
  </commentList>
</comments>
</file>

<file path=xl/comments2.xml><?xml version="1.0" encoding="utf-8"?>
<comments xmlns="http://schemas.openxmlformats.org/spreadsheetml/2006/main">
  <authors>
    <author>ON Semiconductor</author>
  </authors>
  <commentList>
    <comment ref="B13" authorId="0">
      <text>
        <r>
          <rPr>
            <b/>
            <sz val="8"/>
            <color indexed="81"/>
            <rFont val="Tahoma"/>
            <family val="2"/>
          </rPr>
          <t>ON Semiconductor:</t>
        </r>
        <r>
          <rPr>
            <sz val="8"/>
            <color indexed="81"/>
            <rFont val="Tahoma"/>
            <family val="2"/>
          </rPr>
          <t xml:space="preserve">
Desired Output Ripple (Default = 20 Vpp)</t>
        </r>
      </text>
    </comment>
    <comment ref="B20" authorId="0">
      <text>
        <r>
          <rPr>
            <b/>
            <sz val="8"/>
            <color indexed="81"/>
            <rFont val="Tahoma"/>
            <family val="2"/>
          </rPr>
          <t xml:space="preserve">ON Semiconductor:
</t>
        </r>
        <r>
          <rPr>
            <sz val="8"/>
            <color indexed="81"/>
            <rFont val="Tahoma"/>
            <family val="2"/>
          </rPr>
          <t xml:space="preserve">
</t>
        </r>
        <r>
          <rPr>
            <sz val="10"/>
            <color indexed="81"/>
            <rFont val="Tahoma"/>
            <family val="2"/>
          </rPr>
          <t>Use N</t>
        </r>
        <r>
          <rPr>
            <vertAlign val="subscript"/>
            <sz val="10"/>
            <color indexed="81"/>
            <rFont val="Tahoma"/>
            <family val="2"/>
          </rPr>
          <t>P</t>
        </r>
        <r>
          <rPr>
            <sz val="10"/>
            <color indexed="81"/>
            <rFont val="Tahoma"/>
            <family val="2"/>
          </rPr>
          <t>:N</t>
        </r>
        <r>
          <rPr>
            <vertAlign val="subscript"/>
            <sz val="10"/>
            <color indexed="81"/>
            <rFont val="Tahoma"/>
            <family val="2"/>
          </rPr>
          <t>ZCD</t>
        </r>
      </text>
    </comment>
    <comment ref="A22" authorId="0">
      <text>
        <r>
          <rPr>
            <b/>
            <sz val="8"/>
            <color indexed="81"/>
            <rFont val="Tahoma"/>
            <family val="2"/>
          </rPr>
          <t>ON Semiconductor:</t>
        </r>
        <r>
          <rPr>
            <sz val="8"/>
            <color indexed="81"/>
            <rFont val="Tahoma"/>
            <family val="2"/>
          </rPr>
          <t xml:space="preserve">
ZCD winding voltage during off cycle at high line - must be high enough to arm ZCD</t>
        </r>
      </text>
    </comment>
    <comment ref="A23" authorId="0">
      <text>
        <r>
          <rPr>
            <b/>
            <sz val="8"/>
            <color indexed="81"/>
            <rFont val="Tahoma"/>
            <family val="2"/>
          </rPr>
          <t>ON Semiconductor:</t>
        </r>
        <r>
          <rPr>
            <sz val="8"/>
            <color indexed="81"/>
            <rFont val="Tahoma"/>
            <family val="2"/>
          </rPr>
          <t xml:space="preserve">
ZCD winding voltage during off cycle at low line</t>
        </r>
      </text>
    </comment>
    <comment ref="A24" authorId="0">
      <text>
        <r>
          <rPr>
            <b/>
            <sz val="8"/>
            <color indexed="81"/>
            <rFont val="Tahoma"/>
            <family val="2"/>
          </rPr>
          <t>ON Semiconductor:</t>
        </r>
        <r>
          <rPr>
            <sz val="8"/>
            <color indexed="81"/>
            <rFont val="Tahoma"/>
            <family val="2"/>
          </rPr>
          <t xml:space="preserve">
ZCD winding voltage during on cycle at high line</t>
        </r>
      </text>
    </comment>
  </commentList>
</comments>
</file>

<file path=xl/comments3.xml><?xml version="1.0" encoding="utf-8"?>
<comments xmlns="http://schemas.openxmlformats.org/spreadsheetml/2006/main">
  <authors>
    <author>ON Semiconductor</author>
  </authors>
  <commentList>
    <comment ref="B4" authorId="0">
      <text>
        <r>
          <rPr>
            <b/>
            <sz val="8"/>
            <color indexed="81"/>
            <rFont val="Tahoma"/>
            <family val="2"/>
          </rPr>
          <t>ON Semiconductor:</t>
        </r>
        <r>
          <rPr>
            <sz val="8"/>
            <color indexed="81"/>
            <rFont val="Tahoma"/>
            <family val="2"/>
          </rPr>
          <t xml:space="preserve">
Boost Inductor tolerance (Default 10%)</t>
        </r>
      </text>
    </comment>
    <comment ref="B5" authorId="0">
      <text>
        <r>
          <rPr>
            <b/>
            <sz val="8"/>
            <color indexed="81"/>
            <rFont val="Tahoma"/>
            <family val="2"/>
          </rPr>
          <t>ON Semiconductor:</t>
        </r>
        <r>
          <rPr>
            <sz val="8"/>
            <color indexed="81"/>
            <rFont val="Tahoma"/>
            <family val="2"/>
          </rPr>
          <t xml:space="preserve">
Maximum allowable inductance for desired minimum switching frequency
(tolerance included)</t>
        </r>
      </text>
    </comment>
    <comment ref="B7" authorId="0">
      <text>
        <r>
          <rPr>
            <b/>
            <sz val="8"/>
            <color indexed="81"/>
            <rFont val="Tahoma"/>
            <family val="2"/>
          </rPr>
          <t>ON Semiconductor:</t>
        </r>
        <r>
          <rPr>
            <sz val="8"/>
            <color indexed="81"/>
            <rFont val="Tahoma"/>
            <family val="2"/>
          </rPr>
          <t xml:space="preserve">
Minimum switching frequency at low line including inductor tolerance</t>
        </r>
      </text>
    </comment>
    <comment ref="B8" authorId="0">
      <text>
        <r>
          <rPr>
            <b/>
            <sz val="8"/>
            <color indexed="81"/>
            <rFont val="Tahoma"/>
            <family val="2"/>
          </rPr>
          <t>ON Semiconductor:</t>
        </r>
        <r>
          <rPr>
            <sz val="8"/>
            <color indexed="81"/>
            <rFont val="Tahoma"/>
            <family val="2"/>
          </rPr>
          <t xml:space="preserve">
Minimum switching frequency at high line including inductor tolerance</t>
        </r>
      </text>
    </comment>
  </commentList>
</comments>
</file>

<file path=xl/comments4.xml><?xml version="1.0" encoding="utf-8"?>
<comments xmlns="http://schemas.openxmlformats.org/spreadsheetml/2006/main">
  <authors>
    <author>ON Semiconductor</author>
  </authors>
  <commentList>
    <comment ref="B4" authorId="0">
      <text>
        <r>
          <rPr>
            <b/>
            <sz val="8"/>
            <color indexed="81"/>
            <rFont val="Tahoma"/>
            <family val="2"/>
          </rPr>
          <t>ON Semiconductor:</t>
        </r>
        <r>
          <rPr>
            <sz val="8"/>
            <color indexed="81"/>
            <rFont val="Tahoma"/>
            <family val="2"/>
          </rPr>
          <t xml:space="preserve">
Minimum ton(MAX) required to meet operating conditions at low line</t>
        </r>
      </text>
    </comment>
    <comment ref="G4" authorId="0">
      <text>
        <r>
          <rPr>
            <b/>
            <sz val="8"/>
            <color indexed="81"/>
            <rFont val="Tahoma"/>
            <family val="2"/>
          </rPr>
          <t>ON Semiconductor:</t>
        </r>
        <r>
          <rPr>
            <sz val="8"/>
            <color indexed="81"/>
            <rFont val="Tahoma"/>
            <family val="2"/>
          </rPr>
          <t xml:space="preserve">
Feedback resistor tolerance (Default 1%)</t>
        </r>
      </text>
    </comment>
    <comment ref="B5" authorId="0">
      <text>
        <r>
          <rPr>
            <b/>
            <sz val="8"/>
            <color indexed="81"/>
            <rFont val="Tahoma"/>
            <family val="2"/>
          </rPr>
          <t>ON Semiconductor:</t>
        </r>
        <r>
          <rPr>
            <sz val="8"/>
            <color indexed="81"/>
            <rFont val="Tahoma"/>
            <family val="2"/>
          </rPr>
          <t xml:space="preserve">
Minimum ton(MAX) required to meet operating conditions at high line</t>
        </r>
      </text>
    </comment>
    <comment ref="G5" authorId="0">
      <text>
        <r>
          <rPr>
            <b/>
            <sz val="8"/>
            <color indexed="81"/>
            <rFont val="Tahoma"/>
            <family val="2"/>
          </rPr>
          <t>ON Semiconductor:</t>
        </r>
        <r>
          <rPr>
            <sz val="8"/>
            <color indexed="81"/>
            <rFont val="Tahoma"/>
            <family val="2"/>
          </rPr>
          <t xml:space="preserve">
Desired divider current (Default 100 µA)</t>
        </r>
      </text>
    </comment>
    <comment ref="B10" authorId="0">
      <text>
        <r>
          <rPr>
            <b/>
            <sz val="8"/>
            <color indexed="81"/>
            <rFont val="Tahoma"/>
            <family val="2"/>
          </rPr>
          <t>ON Semiconductor:</t>
        </r>
        <r>
          <rPr>
            <sz val="8"/>
            <color indexed="81"/>
            <rFont val="Tahoma"/>
            <family val="2"/>
          </rPr>
          <t xml:space="preserve">
ZCD resistor tolerance (Default 1%)</t>
        </r>
      </text>
    </comment>
    <comment ref="B11" authorId="0">
      <text>
        <r>
          <rPr>
            <b/>
            <sz val="8"/>
            <color indexed="81"/>
            <rFont val="Tahoma"/>
            <family val="2"/>
          </rPr>
          <t>ON Semiconductor:</t>
        </r>
        <r>
          <rPr>
            <sz val="8"/>
            <color indexed="81"/>
            <rFont val="Tahoma"/>
            <family val="2"/>
          </rPr>
          <t xml:space="preserve">
Minimum resistance required to protect the PZCD pin (tolerance included)</t>
        </r>
      </text>
    </comment>
    <comment ref="G12" authorId="0">
      <text>
        <r>
          <rPr>
            <b/>
            <sz val="8"/>
            <color indexed="81"/>
            <rFont val="Tahoma"/>
            <family val="2"/>
          </rPr>
          <t>ON Semiconductor:</t>
        </r>
        <r>
          <rPr>
            <sz val="8"/>
            <color indexed="81"/>
            <rFont val="Tahoma"/>
            <family val="2"/>
          </rPr>
          <t xml:space="preserve">
Minimum OCP setpoint to meet minimum power limit</t>
        </r>
      </text>
    </comment>
    <comment ref="B13" authorId="0">
      <text>
        <r>
          <rPr>
            <b/>
            <sz val="8"/>
            <color indexed="81"/>
            <rFont val="Tahoma"/>
            <family val="2"/>
          </rPr>
          <t>ON Semiconductor:</t>
        </r>
        <r>
          <rPr>
            <sz val="8"/>
            <color indexed="81"/>
            <rFont val="Tahoma"/>
            <family val="2"/>
          </rPr>
          <t xml:space="preserve">
Maximum IPZCD durring off-cycle including resistor tolerance</t>
        </r>
      </text>
    </comment>
    <comment ref="G13" authorId="0">
      <text>
        <r>
          <rPr>
            <b/>
            <sz val="8"/>
            <color indexed="81"/>
            <rFont val="Tahoma"/>
            <family val="2"/>
          </rPr>
          <t>ON Semiconductor:</t>
        </r>
        <r>
          <rPr>
            <sz val="8"/>
            <color indexed="81"/>
            <rFont val="Tahoma"/>
            <family val="2"/>
          </rPr>
          <t xml:space="preserve">
OCP resistor tolerance (default is 1%)</t>
        </r>
      </text>
    </comment>
    <comment ref="B14" authorId="0">
      <text>
        <r>
          <rPr>
            <b/>
            <sz val="8"/>
            <color indexed="81"/>
            <rFont val="Tahoma"/>
            <family val="2"/>
          </rPr>
          <t>ON Semiconductor:</t>
        </r>
        <r>
          <rPr>
            <sz val="8"/>
            <color indexed="81"/>
            <rFont val="Tahoma"/>
            <family val="2"/>
          </rPr>
          <t xml:space="preserve">
Maximum IPZCD durring on-cycle including resistor tolerance</t>
        </r>
      </text>
    </comment>
    <comment ref="G14" authorId="0">
      <text>
        <r>
          <rPr>
            <b/>
            <sz val="8"/>
            <color indexed="81"/>
            <rFont val="Tahoma"/>
            <family val="2"/>
          </rPr>
          <t>ON Semiconductor:</t>
        </r>
        <r>
          <rPr>
            <sz val="8"/>
            <color indexed="81"/>
            <rFont val="Tahoma"/>
            <family val="2"/>
          </rPr>
          <t xml:space="preserve">
Maximum current sense resistance (tolerance included)</t>
        </r>
      </text>
    </comment>
    <comment ref="B18" authorId="0">
      <text>
        <r>
          <rPr>
            <b/>
            <sz val="8"/>
            <color indexed="81"/>
            <rFont val="Tahoma"/>
            <family val="2"/>
          </rPr>
          <t>ON Semiconductor:</t>
        </r>
        <r>
          <rPr>
            <sz val="8"/>
            <color indexed="81"/>
            <rFont val="Tahoma"/>
            <family val="2"/>
          </rPr>
          <t xml:space="preserve">
Includes all tolerances and output ripple</t>
        </r>
      </text>
    </comment>
    <comment ref="D18" authorId="0">
      <text>
        <r>
          <rPr>
            <b/>
            <sz val="8"/>
            <color indexed="81"/>
            <rFont val="Tahoma"/>
            <family val="2"/>
          </rPr>
          <t>ON Semiconductor:</t>
        </r>
        <r>
          <rPr>
            <sz val="8"/>
            <color indexed="81"/>
            <rFont val="Tahoma"/>
            <family val="2"/>
          </rPr>
          <t xml:space="preserve">
Includes all tolerances and output ripple</t>
        </r>
      </text>
    </comment>
    <comment ref="G18" authorId="0">
      <text>
        <r>
          <rPr>
            <b/>
            <sz val="8"/>
            <color indexed="81"/>
            <rFont val="Tahoma"/>
            <family val="2"/>
          </rPr>
          <t>ON Semiconductor:</t>
        </r>
        <r>
          <rPr>
            <sz val="8"/>
            <color indexed="81"/>
            <rFont val="Tahoma"/>
            <family val="2"/>
          </rPr>
          <t xml:space="preserve">
Bulk capacitor tolerance (Default 20%)</t>
        </r>
      </text>
    </comment>
    <comment ref="G19" authorId="0">
      <text>
        <r>
          <rPr>
            <b/>
            <sz val="8"/>
            <color indexed="81"/>
            <rFont val="Tahoma"/>
            <family val="2"/>
          </rPr>
          <t>ON Semiconductor:</t>
        </r>
        <r>
          <rPr>
            <sz val="8"/>
            <color indexed="81"/>
            <rFont val="Tahoma"/>
            <family val="2"/>
          </rPr>
          <t xml:space="preserve">
Minimum bulk capacitance required to meet output ripple requirement (tolerance included)</t>
        </r>
      </text>
    </comment>
    <comment ref="G21" authorId="0">
      <text>
        <r>
          <rPr>
            <b/>
            <sz val="8"/>
            <color indexed="81"/>
            <rFont val="Tahoma"/>
            <family val="2"/>
          </rPr>
          <t>ON Semiconductor:</t>
        </r>
        <r>
          <rPr>
            <sz val="8"/>
            <color indexed="81"/>
            <rFont val="Tahoma"/>
            <family val="2"/>
          </rPr>
          <t xml:space="preserve">
Bulk capacitor ESR (Default 250 mΩ)</t>
        </r>
      </text>
    </comment>
  </commentList>
</comments>
</file>

<file path=xl/comments5.xml><?xml version="1.0" encoding="utf-8"?>
<comments xmlns="http://schemas.openxmlformats.org/spreadsheetml/2006/main">
  <authors>
    <author>ON Semiconductor</author>
  </authors>
  <commentList>
    <comment ref="B4" authorId="0">
      <text>
        <r>
          <rPr>
            <b/>
            <sz val="8"/>
            <color indexed="81"/>
            <rFont val="Tahoma"/>
            <family val="2"/>
          </rPr>
          <t>ON Semiconductor:</t>
        </r>
        <r>
          <rPr>
            <sz val="8"/>
            <color indexed="81"/>
            <rFont val="Tahoma"/>
            <family val="2"/>
          </rPr>
          <t xml:space="preserve">
Desired design point voltage (Default 150 Vac)</t>
        </r>
      </text>
    </comment>
    <comment ref="B5" authorId="0">
      <text>
        <r>
          <rPr>
            <b/>
            <sz val="8"/>
            <color indexed="81"/>
            <rFont val="Tahoma"/>
            <family val="2"/>
          </rPr>
          <t>ON Semiconductor:</t>
        </r>
        <r>
          <rPr>
            <sz val="8"/>
            <color indexed="81"/>
            <rFont val="Tahoma"/>
            <family val="2"/>
          </rPr>
          <t xml:space="preserve">
Desired design point load (Default Pout)</t>
        </r>
      </text>
    </comment>
    <comment ref="B6" authorId="0">
      <text>
        <r>
          <rPr>
            <b/>
            <sz val="8"/>
            <color indexed="81"/>
            <rFont val="Tahoma"/>
            <family val="2"/>
          </rPr>
          <t>ON Semiconductor:</t>
        </r>
        <r>
          <rPr>
            <sz val="8"/>
            <color indexed="81"/>
            <rFont val="Tahoma"/>
            <family val="2"/>
          </rPr>
          <t xml:space="preserve">
Desired crossover frequency (Default 10 Hz)</t>
        </r>
      </text>
    </comment>
    <comment ref="B7" authorId="0">
      <text>
        <r>
          <rPr>
            <b/>
            <sz val="8"/>
            <color indexed="81"/>
            <rFont val="Tahoma"/>
            <family val="2"/>
          </rPr>
          <t>ON Semiconductor:</t>
        </r>
        <r>
          <rPr>
            <sz val="8"/>
            <color indexed="81"/>
            <rFont val="Tahoma"/>
            <family val="2"/>
          </rPr>
          <t xml:space="preserve">
Desired phase margin (Default 60 deg)</t>
        </r>
      </text>
    </comment>
  </commentList>
</comments>
</file>

<file path=xl/comments6.xml><?xml version="1.0" encoding="utf-8"?>
<comments xmlns="http://schemas.openxmlformats.org/spreadsheetml/2006/main">
  <authors>
    <author>ON Semiconductor</author>
  </authors>
  <commentList>
    <comment ref="C5" authorId="0">
      <text>
        <r>
          <rPr>
            <b/>
            <sz val="8"/>
            <color indexed="81"/>
            <rFont val="Tahoma"/>
            <family val="2"/>
          </rPr>
          <t>ON Semiconductor:</t>
        </r>
        <r>
          <rPr>
            <sz val="8"/>
            <color indexed="81"/>
            <rFont val="Tahoma"/>
            <family val="2"/>
          </rPr>
          <t xml:space="preserve">
Maximum peak current - use for determining peak diode current rating</t>
        </r>
      </text>
    </comment>
    <comment ref="C6" authorId="0">
      <text>
        <r>
          <rPr>
            <b/>
            <sz val="8"/>
            <color indexed="81"/>
            <rFont val="Tahoma"/>
            <family val="2"/>
          </rPr>
          <t>ON Semiconductor:</t>
        </r>
        <r>
          <rPr>
            <sz val="8"/>
            <color indexed="81"/>
            <rFont val="Tahoma"/>
            <family val="2"/>
          </rPr>
          <t xml:space="preserve">
RMS diode current - use for calculating diode power dissipation</t>
        </r>
      </text>
    </comment>
    <comment ref="C7" authorId="0">
      <text>
        <r>
          <rPr>
            <b/>
            <sz val="8"/>
            <color indexed="81"/>
            <rFont val="Tahoma"/>
            <family val="2"/>
          </rPr>
          <t>ON Semiconductor:</t>
        </r>
        <r>
          <rPr>
            <sz val="8"/>
            <color indexed="81"/>
            <rFont val="Tahoma"/>
            <family val="2"/>
          </rPr>
          <t xml:space="preserve">
PFC Diode forward voltage
(Default 0.4 V)</t>
        </r>
      </text>
    </comment>
    <comment ref="C10" authorId="0">
      <text>
        <r>
          <rPr>
            <b/>
            <sz val="8"/>
            <color indexed="81"/>
            <rFont val="Tahoma"/>
            <family val="2"/>
          </rPr>
          <t>ON Semiconductor:</t>
        </r>
        <r>
          <rPr>
            <sz val="8"/>
            <color indexed="81"/>
            <rFont val="Tahoma"/>
            <family val="2"/>
          </rPr>
          <t xml:space="preserve">
Maximum peak current - use for determining peak switch current rating</t>
        </r>
      </text>
    </comment>
    <comment ref="C11" authorId="0">
      <text>
        <r>
          <rPr>
            <b/>
            <sz val="8"/>
            <color indexed="81"/>
            <rFont val="Tahoma"/>
            <family val="2"/>
          </rPr>
          <t>ON Semiconductor:</t>
        </r>
        <r>
          <rPr>
            <sz val="8"/>
            <color indexed="81"/>
            <rFont val="Tahoma"/>
            <family val="2"/>
          </rPr>
          <t xml:space="preserve">
RMS switch current - use for calculating switch power dissipation</t>
        </r>
      </text>
    </comment>
    <comment ref="C12" authorId="0">
      <text>
        <r>
          <rPr>
            <b/>
            <sz val="8"/>
            <color indexed="81"/>
            <rFont val="Tahoma"/>
            <family val="2"/>
          </rPr>
          <t>ON Semiconductor:</t>
        </r>
        <r>
          <rPr>
            <sz val="8"/>
            <color indexed="81"/>
            <rFont val="Tahoma"/>
            <family val="2"/>
          </rPr>
          <t xml:space="preserve">
Rdson of PFC switch
(Default 0.38 Ω)</t>
        </r>
      </text>
    </comment>
    <comment ref="C14" authorId="0">
      <text>
        <r>
          <rPr>
            <b/>
            <sz val="8"/>
            <color indexed="81"/>
            <rFont val="Tahoma"/>
            <family val="2"/>
          </rPr>
          <t>ON Semiconductor:</t>
        </r>
        <r>
          <rPr>
            <sz val="8"/>
            <color indexed="81"/>
            <rFont val="Tahoma"/>
            <family val="2"/>
          </rPr>
          <t xml:space="preserve">
Maximum peak current - use for determining inductor core saturation</t>
        </r>
      </text>
    </comment>
    <comment ref="C15" authorId="0">
      <text>
        <r>
          <rPr>
            <b/>
            <sz val="8"/>
            <color indexed="81"/>
            <rFont val="Tahoma"/>
            <family val="2"/>
          </rPr>
          <t>ON Semiconductor:</t>
        </r>
        <r>
          <rPr>
            <sz val="8"/>
            <color indexed="81"/>
            <rFont val="Tahoma"/>
            <family val="2"/>
          </rPr>
          <t xml:space="preserve">
Continuous peak current - use for calculating inductor core power dissipation</t>
        </r>
      </text>
    </comment>
    <comment ref="C16" authorId="0">
      <text>
        <r>
          <rPr>
            <b/>
            <sz val="8"/>
            <color indexed="81"/>
            <rFont val="Tahoma"/>
            <family val="2"/>
          </rPr>
          <t>ON Semiconductor:</t>
        </r>
        <r>
          <rPr>
            <sz val="8"/>
            <color indexed="81"/>
            <rFont val="Tahoma"/>
            <family val="2"/>
          </rPr>
          <t xml:space="preserve">
RMS inductor current - use for calculating inductor winding power dissipation</t>
        </r>
      </text>
    </comment>
    <comment ref="C17" authorId="0">
      <text>
        <r>
          <rPr>
            <b/>
            <sz val="8"/>
            <color indexed="81"/>
            <rFont val="Tahoma"/>
            <family val="2"/>
          </rPr>
          <t>ON Semiconductor:</t>
        </r>
        <r>
          <rPr>
            <sz val="8"/>
            <color indexed="81"/>
            <rFont val="Tahoma"/>
            <family val="2"/>
          </rPr>
          <t xml:space="preserve">
DCR of PFC coil
(Default 0.213 Ω)</t>
        </r>
      </text>
    </comment>
    <comment ref="C19" authorId="0">
      <text>
        <r>
          <rPr>
            <b/>
            <sz val="8"/>
            <color indexed="81"/>
            <rFont val="Tahoma"/>
            <family val="2"/>
          </rPr>
          <t>ON Semiconductor:</t>
        </r>
        <r>
          <rPr>
            <sz val="8"/>
            <color indexed="81"/>
            <rFont val="Tahoma"/>
            <family val="2"/>
          </rPr>
          <t xml:space="preserve">
RMS resistor current - use for calculating resistor power dissipation</t>
        </r>
      </text>
    </comment>
  </commentList>
</comments>
</file>

<file path=xl/sharedStrings.xml><?xml version="1.0" encoding="utf-8"?>
<sst xmlns="http://schemas.openxmlformats.org/spreadsheetml/2006/main" count="454" uniqueCount="287">
  <si>
    <t>Minimum Input Voltage</t>
  </si>
  <si>
    <t>Vac</t>
  </si>
  <si>
    <t>Maximum Input Voltage</t>
  </si>
  <si>
    <t>Minimum Line Frequency</t>
  </si>
  <si>
    <t>Hz</t>
  </si>
  <si>
    <t>Maximum Line Frequency</t>
  </si>
  <si>
    <t>V</t>
  </si>
  <si>
    <t>Minimum Switching Frequency</t>
  </si>
  <si>
    <t>kHz</t>
  </si>
  <si>
    <t>%</t>
  </si>
  <si>
    <t>Continuous Output Power</t>
  </si>
  <si>
    <t>W</t>
  </si>
  <si>
    <t>A</t>
  </si>
  <si>
    <t>µH</t>
  </si>
  <si>
    <t>Chosen Value</t>
  </si>
  <si>
    <r>
      <t>L</t>
    </r>
    <r>
      <rPr>
        <vertAlign val="subscript"/>
        <sz val="10"/>
        <rFont val="Arial"/>
        <family val="2"/>
      </rPr>
      <t>boost</t>
    </r>
    <r>
      <rPr>
        <sz val="10"/>
        <rFont val="Arial"/>
        <family val="2"/>
      </rPr>
      <t xml:space="preserve"> =</t>
    </r>
  </si>
  <si>
    <t>µs</t>
  </si>
  <si>
    <r>
      <t>R</t>
    </r>
    <r>
      <rPr>
        <vertAlign val="subscript"/>
        <sz val="10"/>
        <rFont val="Arial"/>
        <family val="2"/>
      </rPr>
      <t>ZCD</t>
    </r>
    <r>
      <rPr>
        <sz val="10"/>
        <rFont val="Arial"/>
        <family val="2"/>
      </rPr>
      <t xml:space="preserve"> ≥</t>
    </r>
  </si>
  <si>
    <t>kΩ</t>
  </si>
  <si>
    <r>
      <t>R</t>
    </r>
    <r>
      <rPr>
        <vertAlign val="subscript"/>
        <sz val="10"/>
        <rFont val="Arial"/>
        <family val="2"/>
      </rPr>
      <t>ZCD</t>
    </r>
    <r>
      <rPr>
        <sz val="10"/>
        <rFont val="Arial"/>
        <family val="2"/>
      </rPr>
      <t xml:space="preserve"> =</t>
    </r>
  </si>
  <si>
    <t>Step 5</t>
  </si>
  <si>
    <t>MΩ</t>
  </si>
  <si>
    <t>µF</t>
  </si>
  <si>
    <r>
      <t>V</t>
    </r>
    <r>
      <rPr>
        <vertAlign val="subscript"/>
        <sz val="10"/>
        <rFont val="Arial"/>
        <family val="2"/>
      </rPr>
      <t>bulk(ripple)</t>
    </r>
    <r>
      <rPr>
        <sz val="10"/>
        <rFont val="Arial"/>
        <family val="2"/>
      </rPr>
      <t xml:space="preserve"> =</t>
    </r>
  </si>
  <si>
    <r>
      <t>P</t>
    </r>
    <r>
      <rPr>
        <vertAlign val="subscript"/>
        <sz val="10"/>
        <rFont val="Arial"/>
        <family val="2"/>
      </rPr>
      <t>RPSENSE</t>
    </r>
    <r>
      <rPr>
        <sz val="10"/>
        <rFont val="Arial"/>
        <family val="2"/>
      </rPr>
      <t xml:space="preserve"> =</t>
    </r>
  </si>
  <si>
    <t>mV</t>
  </si>
  <si>
    <t>IC Parameters</t>
  </si>
  <si>
    <t>Parameter</t>
  </si>
  <si>
    <t>Min</t>
  </si>
  <si>
    <t>Typ</t>
  </si>
  <si>
    <t>Max</t>
  </si>
  <si>
    <t>Units</t>
  </si>
  <si>
    <t>mA</t>
  </si>
  <si>
    <t>µA</t>
  </si>
  <si>
    <r>
      <t>V</t>
    </r>
    <r>
      <rPr>
        <b/>
        <vertAlign val="subscript"/>
        <sz val="10"/>
        <rFont val="Arial"/>
        <family val="2"/>
      </rPr>
      <t>CT(MAX)</t>
    </r>
  </si>
  <si>
    <r>
      <t>V</t>
    </r>
    <r>
      <rPr>
        <b/>
        <vertAlign val="subscript"/>
        <sz val="10"/>
        <rFont val="Arial"/>
        <family val="2"/>
      </rPr>
      <t>ZCD(rising)</t>
    </r>
  </si>
  <si>
    <r>
      <t>V</t>
    </r>
    <r>
      <rPr>
        <b/>
        <vertAlign val="subscript"/>
        <sz val="10"/>
        <rFont val="Arial"/>
        <family val="2"/>
      </rPr>
      <t>ZCD(falling)</t>
    </r>
  </si>
  <si>
    <r>
      <t>V</t>
    </r>
    <r>
      <rPr>
        <b/>
        <vertAlign val="subscript"/>
        <sz val="10"/>
        <rFont val="Arial"/>
        <family val="2"/>
      </rPr>
      <t>REF</t>
    </r>
  </si>
  <si>
    <t>gm</t>
  </si>
  <si>
    <t>µS</t>
  </si>
  <si>
    <r>
      <t>V</t>
    </r>
    <r>
      <rPr>
        <b/>
        <vertAlign val="subscript"/>
        <sz val="10"/>
        <rFont val="Arial"/>
        <family val="2"/>
      </rPr>
      <t>standby</t>
    </r>
  </si>
  <si>
    <r>
      <t>V</t>
    </r>
    <r>
      <rPr>
        <b/>
        <vertAlign val="subscript"/>
        <sz val="10"/>
        <rFont val="Arial"/>
        <family val="2"/>
      </rPr>
      <t>UVP</t>
    </r>
  </si>
  <si>
    <r>
      <t>I</t>
    </r>
    <r>
      <rPr>
        <b/>
        <vertAlign val="subscript"/>
        <sz val="10"/>
        <rFont val="Arial"/>
        <family val="2"/>
      </rPr>
      <t>CL(NEG)</t>
    </r>
  </si>
  <si>
    <r>
      <t>f</t>
    </r>
    <r>
      <rPr>
        <b/>
        <vertAlign val="subscript"/>
        <sz val="10"/>
        <rFont val="Arial"/>
        <family val="2"/>
      </rPr>
      <t>OSC(MIN)</t>
    </r>
  </si>
  <si>
    <t>Step 9</t>
  </si>
  <si>
    <t>Maximum inductance at high line</t>
  </si>
  <si>
    <t>Maximum inductance at low line</t>
  </si>
  <si>
    <r>
      <t>L</t>
    </r>
    <r>
      <rPr>
        <vertAlign val="subscript"/>
        <sz val="10"/>
        <rFont val="Arial"/>
        <family val="2"/>
      </rPr>
      <t xml:space="preserve">boost </t>
    </r>
    <r>
      <rPr>
        <sz val="10"/>
        <rFont val="Arial"/>
        <family val="2"/>
      </rPr>
      <t>≤</t>
    </r>
  </si>
  <si>
    <t>Calculate the maximum allowable boost inductance at high line and low line.</t>
  </si>
  <si>
    <t>Check to make sure the minimum switching frequency is not exceeded at high line and low line.</t>
  </si>
  <si>
    <r>
      <t>f</t>
    </r>
    <r>
      <rPr>
        <vertAlign val="subscript"/>
        <sz val="10"/>
        <rFont val="Arial"/>
        <family val="2"/>
      </rPr>
      <t xml:space="preserve">sw(MIN) </t>
    </r>
    <r>
      <rPr>
        <sz val="10"/>
        <rFont val="Arial"/>
        <family val="2"/>
      </rPr>
      <t>=</t>
    </r>
  </si>
  <si>
    <t>Tolerance</t>
  </si>
  <si>
    <t>Tolerance =</t>
  </si>
  <si>
    <t>Boost Inductor tolerance</t>
  </si>
  <si>
    <t>Minimum switching frequency at low line including inductor tolerance</t>
  </si>
  <si>
    <t>Minimum switching frequency at high line including inductor tolerance</t>
  </si>
  <si>
    <r>
      <t>I</t>
    </r>
    <r>
      <rPr>
        <b/>
        <vertAlign val="subscript"/>
        <sz val="10"/>
        <rFont val="Arial"/>
        <family val="2"/>
      </rPr>
      <t>CL(POS)</t>
    </r>
  </si>
  <si>
    <t>Determine the minimum ZCD resistor value required to limit the current into the positive and negative clamp.</t>
  </si>
  <si>
    <t>Minimum resistance required to protect the negative clamp</t>
  </si>
  <si>
    <t>Minimum resistance required to protect the positive clamp</t>
  </si>
  <si>
    <t>Check to make sure the clamp current is not exceeded at any time.</t>
  </si>
  <si>
    <r>
      <t>I</t>
    </r>
    <r>
      <rPr>
        <vertAlign val="subscript"/>
        <sz val="10"/>
        <rFont val="Arial"/>
        <family val="2"/>
      </rPr>
      <t>CL(POS)</t>
    </r>
    <r>
      <rPr>
        <sz val="10"/>
        <rFont val="Arial"/>
        <family val="2"/>
      </rPr>
      <t xml:space="preserve"> =</t>
    </r>
  </si>
  <si>
    <r>
      <t>I</t>
    </r>
    <r>
      <rPr>
        <vertAlign val="subscript"/>
        <sz val="10"/>
        <rFont val="Arial"/>
        <family val="2"/>
      </rPr>
      <t>CL(NEG)</t>
    </r>
    <r>
      <rPr>
        <sz val="10"/>
        <rFont val="Arial"/>
        <family val="2"/>
      </rPr>
      <t xml:space="preserve"> =</t>
    </r>
  </si>
  <si>
    <r>
      <t>Actual maximum I</t>
    </r>
    <r>
      <rPr>
        <b/>
        <vertAlign val="subscript"/>
        <sz val="10"/>
        <rFont val="Arial"/>
        <family val="2"/>
      </rPr>
      <t>CL(POS)</t>
    </r>
    <r>
      <rPr>
        <b/>
        <sz val="10"/>
        <rFont val="Arial"/>
        <family val="2"/>
      </rPr>
      <t xml:space="preserve"> including resistor tolerance</t>
    </r>
  </si>
  <si>
    <r>
      <t>Actual maximum I</t>
    </r>
    <r>
      <rPr>
        <b/>
        <vertAlign val="subscript"/>
        <sz val="10"/>
        <rFont val="Arial"/>
        <family val="2"/>
      </rPr>
      <t>CL(NEG)</t>
    </r>
    <r>
      <rPr>
        <b/>
        <sz val="10"/>
        <rFont val="Arial"/>
        <family val="2"/>
      </rPr>
      <t xml:space="preserve"> including resistor tolerance</t>
    </r>
  </si>
  <si>
    <t>ZCD resistor tolerance</t>
  </si>
  <si>
    <t>Maximum Output Voltage</t>
  </si>
  <si>
    <t>Nominal Output Voltage</t>
  </si>
  <si>
    <t>Minimum Output Voltage</t>
  </si>
  <si>
    <t>Maximum Output Ripple</t>
  </si>
  <si>
    <t>Step 2 Calcs</t>
  </si>
  <si>
    <t>pF</t>
  </si>
  <si>
    <r>
      <t>V</t>
    </r>
    <r>
      <rPr>
        <b/>
        <vertAlign val="subscript"/>
        <sz val="10"/>
        <rFont val="Arial"/>
        <family val="2"/>
      </rPr>
      <t>CL(NEG)</t>
    </r>
  </si>
  <si>
    <r>
      <t>V</t>
    </r>
    <r>
      <rPr>
        <b/>
        <vertAlign val="subscript"/>
        <sz val="10"/>
        <rFont val="Arial"/>
        <family val="2"/>
      </rPr>
      <t>CL(POS)</t>
    </r>
  </si>
  <si>
    <r>
      <t>I</t>
    </r>
    <r>
      <rPr>
        <b/>
        <vertAlign val="subscript"/>
        <sz val="10"/>
        <rFont val="Arial"/>
        <family val="2"/>
      </rPr>
      <t>PZCD(MAX)</t>
    </r>
  </si>
  <si>
    <r>
      <t>I</t>
    </r>
    <r>
      <rPr>
        <vertAlign val="subscript"/>
        <sz val="10"/>
        <rFont val="Arial"/>
        <family val="2"/>
      </rPr>
      <t>PZCD(on)</t>
    </r>
    <r>
      <rPr>
        <sz val="10"/>
        <rFont val="Arial"/>
        <family val="2"/>
      </rPr>
      <t xml:space="preserve"> =</t>
    </r>
  </si>
  <si>
    <r>
      <t>I</t>
    </r>
    <r>
      <rPr>
        <vertAlign val="subscript"/>
        <sz val="10"/>
        <rFont val="Arial"/>
        <family val="2"/>
      </rPr>
      <t>PZCD(off)</t>
    </r>
    <r>
      <rPr>
        <sz val="10"/>
        <rFont val="Arial"/>
        <family val="2"/>
      </rPr>
      <t xml:space="preserve"> =</t>
    </r>
  </si>
  <si>
    <t>Divider Current =</t>
  </si>
  <si>
    <r>
      <t>I</t>
    </r>
    <r>
      <rPr>
        <b/>
        <vertAlign val="subscript"/>
        <sz val="10"/>
        <rFont val="Arial"/>
        <family val="2"/>
      </rPr>
      <t>PFB</t>
    </r>
  </si>
  <si>
    <r>
      <t>V</t>
    </r>
    <r>
      <rPr>
        <b/>
        <vertAlign val="subscript"/>
        <sz val="10"/>
        <rFont val="Arial"/>
        <family val="2"/>
      </rPr>
      <t>OCP</t>
    </r>
  </si>
  <si>
    <r>
      <t>I</t>
    </r>
    <r>
      <rPr>
        <vertAlign val="subscript"/>
        <sz val="10"/>
        <rFont val="Arial"/>
        <family val="2"/>
      </rPr>
      <t>OCP</t>
    </r>
    <r>
      <rPr>
        <sz val="10"/>
        <rFont val="Arial"/>
        <family val="2"/>
      </rPr>
      <t xml:space="preserve"> ≥</t>
    </r>
  </si>
  <si>
    <t>Minimum Power Limit</t>
  </si>
  <si>
    <t>Maximum Output Power</t>
  </si>
  <si>
    <r>
      <t>I</t>
    </r>
    <r>
      <rPr>
        <vertAlign val="subscript"/>
        <sz val="10"/>
        <rFont val="Arial"/>
        <family val="2"/>
      </rPr>
      <t>OCP</t>
    </r>
    <r>
      <rPr>
        <sz val="10"/>
        <rFont val="Arial"/>
        <family val="2"/>
      </rPr>
      <t xml:space="preserve"> =</t>
    </r>
  </si>
  <si>
    <r>
      <t>P</t>
    </r>
    <r>
      <rPr>
        <vertAlign val="subscript"/>
        <sz val="10"/>
        <rFont val="Arial"/>
        <family val="2"/>
      </rPr>
      <t>limit</t>
    </r>
    <r>
      <rPr>
        <sz val="10"/>
        <rFont val="Arial"/>
        <family val="2"/>
      </rPr>
      <t xml:space="preserve"> =</t>
    </r>
  </si>
  <si>
    <r>
      <t>I</t>
    </r>
    <r>
      <rPr>
        <b/>
        <vertAlign val="subscript"/>
        <sz val="10"/>
        <rFont val="Arial"/>
        <family val="2"/>
      </rPr>
      <t>PCT(chargeLL)</t>
    </r>
  </si>
  <si>
    <r>
      <t>I</t>
    </r>
    <r>
      <rPr>
        <b/>
        <vertAlign val="subscript"/>
        <sz val="10"/>
        <rFont val="Arial"/>
        <family val="2"/>
      </rPr>
      <t>PCT(chargeHL)</t>
    </r>
  </si>
  <si>
    <t>Determine compensation network components</t>
  </si>
  <si>
    <r>
      <t>f</t>
    </r>
    <r>
      <rPr>
        <vertAlign val="subscript"/>
        <sz val="10"/>
        <rFont val="Arial"/>
        <family val="2"/>
      </rPr>
      <t>cross</t>
    </r>
    <r>
      <rPr>
        <sz val="10"/>
        <rFont val="Arial"/>
        <family val="2"/>
      </rPr>
      <t xml:space="preserve"> =</t>
    </r>
  </si>
  <si>
    <t>Desired crossover frequency (Default 10 Hz)</t>
  </si>
  <si>
    <t>Desired phase margin (Default 60 deg)</t>
  </si>
  <si>
    <t>deg</t>
  </si>
  <si>
    <r>
      <t>PM</t>
    </r>
    <r>
      <rPr>
        <sz val="10"/>
        <rFont val="Arial"/>
        <family val="2"/>
      </rPr>
      <t xml:space="preserve"> =</t>
    </r>
  </si>
  <si>
    <r>
      <t>C</t>
    </r>
    <r>
      <rPr>
        <vertAlign val="subscript"/>
        <sz val="10"/>
        <rFont val="Arial"/>
        <family val="2"/>
      </rPr>
      <t>COMP1</t>
    </r>
    <r>
      <rPr>
        <sz val="10"/>
        <rFont val="Arial"/>
        <family val="2"/>
      </rPr>
      <t xml:space="preserve"> =</t>
    </r>
  </si>
  <si>
    <r>
      <t>R</t>
    </r>
    <r>
      <rPr>
        <vertAlign val="subscript"/>
        <sz val="10"/>
        <rFont val="Arial"/>
        <family val="2"/>
      </rPr>
      <t>COMP1</t>
    </r>
    <r>
      <rPr>
        <sz val="10"/>
        <rFont val="Arial"/>
        <family val="2"/>
      </rPr>
      <t xml:space="preserve"> =</t>
    </r>
  </si>
  <si>
    <r>
      <t>C</t>
    </r>
    <r>
      <rPr>
        <vertAlign val="subscript"/>
        <sz val="10"/>
        <rFont val="Arial"/>
        <family val="2"/>
      </rPr>
      <t>COMP2</t>
    </r>
    <r>
      <rPr>
        <sz val="10"/>
        <rFont val="Arial"/>
        <family val="2"/>
      </rPr>
      <t xml:space="preserve"> =</t>
    </r>
  </si>
  <si>
    <t>OTA transconductance:</t>
  </si>
  <si>
    <t>µA/V</t>
  </si>
  <si>
    <t>Vref</t>
  </si>
  <si>
    <t>Icharge(LL)</t>
  </si>
  <si>
    <t>Icharge(HL)</t>
  </si>
  <si>
    <t>Ipfb</t>
  </si>
  <si>
    <t>Design parameters</t>
  </si>
  <si>
    <t>Pout</t>
  </si>
  <si>
    <t>Lower feedback resistor:</t>
  </si>
  <si>
    <t>kOhms</t>
  </si>
  <si>
    <t>Upper feedback resistor:</t>
  </si>
  <si>
    <t>MOhms</t>
  </si>
  <si>
    <t>Bulk Capacitance</t>
  </si>
  <si>
    <t>Bulk Capacitor ESR</t>
  </si>
  <si>
    <t>mOhms</t>
  </si>
  <si>
    <t>Ct Capacitance</t>
  </si>
  <si>
    <t>Cross-over frequency Fc:</t>
  </si>
  <si>
    <t>Boost Inductance</t>
  </si>
  <si>
    <t>Design Point Input Voltage</t>
  </si>
  <si>
    <t>Phase Margin</t>
  </si>
  <si>
    <t>Calculated parameters</t>
  </si>
  <si>
    <t>Vout</t>
  </si>
  <si>
    <t>Iout</t>
  </si>
  <si>
    <t>Rload</t>
  </si>
  <si>
    <t>Icharge</t>
  </si>
  <si>
    <t>R0</t>
  </si>
  <si>
    <t>K0</t>
  </si>
  <si>
    <t>G0</t>
  </si>
  <si>
    <t>dB</t>
  </si>
  <si>
    <t>ESR Zero</t>
  </si>
  <si>
    <t>System Pole</t>
  </si>
  <si>
    <t>Fpole, R0-C1</t>
  </si>
  <si>
    <t>mHz</t>
  </si>
  <si>
    <t>fzero1</t>
  </si>
  <si>
    <t>Actual Crossover Frequency</t>
  </si>
  <si>
    <t>Actual Phase Margin</t>
  </si>
  <si>
    <t>C1 Calc</t>
  </si>
  <si>
    <t>C1</t>
  </si>
  <si>
    <t>R1 Calc</t>
  </si>
  <si>
    <t>R1</t>
  </si>
  <si>
    <t>C2 Calc</t>
  </si>
  <si>
    <t>nF</t>
  </si>
  <si>
    <t>C2</t>
  </si>
  <si>
    <t>Design Check</t>
  </si>
  <si>
    <t>Input Voltage</t>
  </si>
  <si>
    <t>Crossover Frequency</t>
  </si>
  <si>
    <r>
      <t>V</t>
    </r>
    <r>
      <rPr>
        <vertAlign val="subscript"/>
        <sz val="10"/>
        <rFont val="Arial"/>
        <family val="2"/>
      </rPr>
      <t>in</t>
    </r>
    <r>
      <rPr>
        <sz val="10"/>
        <rFont val="Arial"/>
        <family val="2"/>
      </rPr>
      <t xml:space="preserve"> =</t>
    </r>
  </si>
  <si>
    <r>
      <t>P</t>
    </r>
    <r>
      <rPr>
        <vertAlign val="subscript"/>
        <sz val="10"/>
        <rFont val="Arial"/>
        <family val="2"/>
      </rPr>
      <t>out</t>
    </r>
    <r>
      <rPr>
        <sz val="10"/>
        <rFont val="Arial"/>
        <family val="2"/>
      </rPr>
      <t xml:space="preserve"> =</t>
    </r>
  </si>
  <si>
    <r>
      <t>R</t>
    </r>
    <r>
      <rPr>
        <vertAlign val="subscript"/>
        <sz val="10"/>
        <rFont val="Arial"/>
        <family val="2"/>
      </rPr>
      <t>Cbulk</t>
    </r>
    <r>
      <rPr>
        <sz val="10"/>
        <rFont val="Arial"/>
        <family val="2"/>
      </rPr>
      <t xml:space="preserve"> =</t>
    </r>
  </si>
  <si>
    <t>mΩ</t>
  </si>
  <si>
    <r>
      <t>Desired design point load (Default P</t>
    </r>
    <r>
      <rPr>
        <b/>
        <vertAlign val="subscript"/>
        <sz val="10"/>
        <rFont val="Arial"/>
        <family val="2"/>
      </rPr>
      <t>out</t>
    </r>
    <r>
      <rPr>
        <b/>
        <sz val="10"/>
        <rFont val="Arial"/>
        <family val="2"/>
      </rPr>
      <t>)</t>
    </r>
  </si>
  <si>
    <t>K0 New</t>
  </si>
  <si>
    <t>Cbulk</t>
  </si>
  <si>
    <t>Cbulk New</t>
  </si>
  <si>
    <r>
      <t>P</t>
    </r>
    <r>
      <rPr>
        <vertAlign val="subscript"/>
        <sz val="10"/>
        <rFont val="Arial"/>
        <family val="2"/>
      </rPr>
      <t>out</t>
    </r>
    <r>
      <rPr>
        <sz val="10"/>
        <rFont val="Arial"/>
        <family val="2"/>
      </rPr>
      <t xml:space="preserve"> Change =</t>
    </r>
  </si>
  <si>
    <r>
      <t>V</t>
    </r>
    <r>
      <rPr>
        <b/>
        <vertAlign val="subscript"/>
        <sz val="10"/>
        <rFont val="Arial"/>
        <family val="2"/>
      </rPr>
      <t>SOVP</t>
    </r>
  </si>
  <si>
    <r>
      <t>V</t>
    </r>
    <r>
      <rPr>
        <b/>
        <vertAlign val="subscript"/>
        <sz val="10"/>
        <rFont val="Arial"/>
        <family val="2"/>
      </rPr>
      <t>PSKIP</t>
    </r>
  </si>
  <si>
    <t>Frequency</t>
  </si>
  <si>
    <t>s</t>
  </si>
  <si>
    <t>Plant Gain</t>
  </si>
  <si>
    <t>Compensator Gain</t>
  </si>
  <si>
    <t>Loop Gain</t>
  </si>
  <si>
    <t>Plant Phase</t>
  </si>
  <si>
    <t>Compensator Phase</t>
  </si>
  <si>
    <t>Loop Phase</t>
  </si>
  <si>
    <t>-1/sR0C1</t>
  </si>
  <si>
    <t>1+sC1R1</t>
  </si>
  <si>
    <t>1+sR1(C1||C2)</t>
  </si>
  <si>
    <t>R0C1</t>
  </si>
  <si>
    <t>C1R1</t>
  </si>
  <si>
    <t>R1*C1||C2</t>
  </si>
  <si>
    <t xml:space="preserve"> </t>
  </si>
  <si>
    <t>Cell with comment:</t>
  </si>
  <si>
    <t>To read comment, place cursor on top of red mark in the upper right corner of the cell.</t>
  </si>
  <si>
    <t>Inputs:</t>
  </si>
  <si>
    <t xml:space="preserve">All input fields have a purple background. This tool will calculate most of the required component values. Yellow cells provide calculation results. In some instances, the user has an option to override the suggested value. </t>
  </si>
  <si>
    <t>Input Cell:</t>
  </si>
  <si>
    <t>Result Cell:</t>
  </si>
  <si>
    <t>Note:</t>
  </si>
  <si>
    <t>This spreadsheet is provided for guidance purposes only. It is believed to be accurate. However, the user is responsible for verifying all suggested values provided by this tool.</t>
  </si>
  <si>
    <t xml:space="preserve">These sheets are protected against changes in most cells, except where inputs are allowed. This has been done to assure the integrity of this spread sheet. It can not be modified by the user. </t>
  </si>
  <si>
    <t>Any comments or suggestions regarding changes in this document should be sent to:</t>
  </si>
  <si>
    <t>alan.finkel@onsemi.com</t>
  </si>
  <si>
    <t>Created by: Alan Finkel (ON Semiconductor)</t>
  </si>
  <si>
    <t>Rev. 1</t>
  </si>
  <si>
    <t>-</t>
  </si>
  <si>
    <t>Turns Ratio Override</t>
  </si>
  <si>
    <t>Vdc</t>
  </si>
  <si>
    <t>Line Specifications</t>
  </si>
  <si>
    <t>Output Current</t>
  </si>
  <si>
    <t>PFC Specifications</t>
  </si>
  <si>
    <t>Expected Efficiency</t>
  </si>
  <si>
    <t>Converted PFC Efficiency</t>
  </si>
  <si>
    <t>Step 1: Specifications</t>
  </si>
  <si>
    <t>Component Ratings</t>
  </si>
  <si>
    <t>Diode Derating Factor</t>
  </si>
  <si>
    <r>
      <t>PFC MOSFET V</t>
    </r>
    <r>
      <rPr>
        <vertAlign val="subscript"/>
        <sz val="10"/>
        <rFont val="Arial"/>
        <family val="2"/>
      </rPr>
      <t>BVDSS</t>
    </r>
  </si>
  <si>
    <r>
      <t>PFC Diode V</t>
    </r>
    <r>
      <rPr>
        <vertAlign val="subscript"/>
        <sz val="10"/>
        <rFont val="Arial"/>
        <family val="2"/>
      </rPr>
      <t>RRM</t>
    </r>
  </si>
  <si>
    <t>MOSFET Derating Factor</t>
  </si>
  <si>
    <t>This spreadsheet calculates both system and component data for use with the NCP1928 in a CrM Boost PFC topology with a fixed-frequency flyback. Calculations are based on system specifications provided by the user.
This spreadsheet requires macros to be enabled to operate correctly.
Comments are available in multiple cells within this spreadsheet and look like shown below:</t>
  </si>
  <si>
    <t>Maximum Turns Ratio</t>
  </si>
  <si>
    <r>
      <t>V</t>
    </r>
    <r>
      <rPr>
        <vertAlign val="subscript"/>
        <sz val="10"/>
        <rFont val="Arial"/>
        <family val="2"/>
      </rPr>
      <t>ZCD(off)min</t>
    </r>
  </si>
  <si>
    <r>
      <t>V</t>
    </r>
    <r>
      <rPr>
        <vertAlign val="subscript"/>
        <sz val="10"/>
        <rFont val="Arial"/>
        <family val="2"/>
      </rPr>
      <t>ZCD(off)max</t>
    </r>
  </si>
  <si>
    <r>
      <t>V</t>
    </r>
    <r>
      <rPr>
        <vertAlign val="subscript"/>
        <sz val="10"/>
        <rFont val="Arial"/>
        <family val="2"/>
      </rPr>
      <t>ZCD(on)max</t>
    </r>
  </si>
  <si>
    <t>Step 2: Magnetics</t>
  </si>
  <si>
    <t>Inductor Tolerance</t>
  </si>
  <si>
    <r>
      <t>Maximum L</t>
    </r>
    <r>
      <rPr>
        <vertAlign val="subscript"/>
        <sz val="10"/>
        <rFont val="Arial"/>
        <family val="2"/>
      </rPr>
      <t>boost</t>
    </r>
  </si>
  <si>
    <r>
      <t>Chosen L</t>
    </r>
    <r>
      <rPr>
        <vertAlign val="subscript"/>
        <sz val="10"/>
        <rFont val="Arial"/>
        <family val="2"/>
      </rPr>
      <t>boost</t>
    </r>
  </si>
  <si>
    <r>
      <t>High Line f</t>
    </r>
    <r>
      <rPr>
        <vertAlign val="subscript"/>
        <sz val="10"/>
        <rFont val="Arial"/>
        <family val="2"/>
      </rPr>
      <t>sw(MIN)</t>
    </r>
  </si>
  <si>
    <r>
      <t>Low Line f</t>
    </r>
    <r>
      <rPr>
        <vertAlign val="subscript"/>
        <sz val="10"/>
        <rFont val="Arial"/>
        <family val="2"/>
      </rPr>
      <t>sw(MIN)</t>
    </r>
  </si>
  <si>
    <t>Converted Flyback Efficiency</t>
  </si>
  <si>
    <t>Vwinding1</t>
  </si>
  <si>
    <t>Vwinding2</t>
  </si>
  <si>
    <t>Vwindingaux</t>
  </si>
  <si>
    <t>Feedback Divider</t>
  </si>
  <si>
    <t>Maximum On-Time</t>
  </si>
  <si>
    <t>ZCD Clamp</t>
  </si>
  <si>
    <t>Bulk Capacitor</t>
  </si>
  <si>
    <r>
      <t>Minimum C</t>
    </r>
    <r>
      <rPr>
        <vertAlign val="subscript"/>
        <sz val="10"/>
        <rFont val="Arial"/>
        <family val="2"/>
      </rPr>
      <t>bulk</t>
    </r>
    <r>
      <rPr>
        <sz val="10"/>
        <rFont val="Arial"/>
        <family val="2"/>
      </rPr>
      <t xml:space="preserve"> ≥</t>
    </r>
  </si>
  <si>
    <r>
      <t>Minimum R</t>
    </r>
    <r>
      <rPr>
        <vertAlign val="subscript"/>
        <sz val="10"/>
        <rFont val="Arial"/>
        <family val="2"/>
      </rPr>
      <t>ZCD</t>
    </r>
    <r>
      <rPr>
        <sz val="10"/>
        <rFont val="Arial"/>
        <family val="2"/>
      </rPr>
      <t xml:space="preserve"> ≥</t>
    </r>
  </si>
  <si>
    <r>
      <t>Chosen R</t>
    </r>
    <r>
      <rPr>
        <vertAlign val="subscript"/>
        <sz val="10"/>
        <rFont val="Arial"/>
        <family val="2"/>
      </rPr>
      <t>ZCD</t>
    </r>
    <r>
      <rPr>
        <sz val="10"/>
        <rFont val="Arial"/>
        <family val="2"/>
      </rPr>
      <t xml:space="preserve"> =</t>
    </r>
  </si>
  <si>
    <r>
      <t>Chosen C</t>
    </r>
    <r>
      <rPr>
        <vertAlign val="subscript"/>
        <sz val="10"/>
        <rFont val="Arial"/>
        <family val="2"/>
      </rPr>
      <t>bulk</t>
    </r>
    <r>
      <rPr>
        <sz val="10"/>
        <rFont val="Arial"/>
        <family val="2"/>
      </rPr>
      <t xml:space="preserve"> =</t>
    </r>
  </si>
  <si>
    <t>OCP Setpoint</t>
  </si>
  <si>
    <r>
      <t>Maximum R</t>
    </r>
    <r>
      <rPr>
        <vertAlign val="subscript"/>
        <sz val="10"/>
        <rFont val="Arial"/>
        <family val="2"/>
      </rPr>
      <t>PSENSE</t>
    </r>
    <r>
      <rPr>
        <sz val="10"/>
        <rFont val="Arial"/>
        <family val="2"/>
      </rPr>
      <t xml:space="preserve"> ≤</t>
    </r>
  </si>
  <si>
    <r>
      <t>Chosen R</t>
    </r>
    <r>
      <rPr>
        <vertAlign val="subscript"/>
        <sz val="10"/>
        <rFont val="Arial"/>
        <family val="2"/>
      </rPr>
      <t>PSENSE</t>
    </r>
    <r>
      <rPr>
        <sz val="10"/>
        <rFont val="Arial"/>
        <family val="2"/>
      </rPr>
      <t xml:space="preserve"> =</t>
    </r>
  </si>
  <si>
    <t>Ω</t>
  </si>
  <si>
    <t>MIN</t>
  </si>
  <si>
    <t>TYP</t>
  </si>
  <si>
    <t>MAX</t>
  </si>
  <si>
    <r>
      <t>V</t>
    </r>
    <r>
      <rPr>
        <vertAlign val="subscript"/>
        <sz val="10"/>
        <rFont val="Arial"/>
        <family val="2"/>
      </rPr>
      <t xml:space="preserve">bulk </t>
    </r>
    <r>
      <rPr>
        <sz val="10"/>
        <rFont val="Arial"/>
        <family val="2"/>
      </rPr>
      <t>=</t>
    </r>
  </si>
  <si>
    <t>UVP Threshold =</t>
  </si>
  <si>
    <t>Design Point</t>
  </si>
  <si>
    <t>Low Line</t>
  </si>
  <si>
    <t>High Line</t>
  </si>
  <si>
    <r>
      <t>Suggested R</t>
    </r>
    <r>
      <rPr>
        <vertAlign val="subscript"/>
        <sz val="10"/>
        <rFont val="Arial"/>
        <family val="2"/>
      </rPr>
      <t>PFB(upper)</t>
    </r>
    <r>
      <rPr>
        <sz val="10"/>
        <rFont val="Arial"/>
        <family val="2"/>
      </rPr>
      <t xml:space="preserve"> =</t>
    </r>
  </si>
  <si>
    <r>
      <t>Actual R</t>
    </r>
    <r>
      <rPr>
        <vertAlign val="subscript"/>
        <sz val="10"/>
        <rFont val="Arial"/>
        <family val="2"/>
      </rPr>
      <t>PFB(upper)</t>
    </r>
    <r>
      <rPr>
        <sz val="10"/>
        <rFont val="Arial"/>
        <family val="2"/>
      </rPr>
      <t xml:space="preserve"> =</t>
    </r>
  </si>
  <si>
    <r>
      <t>Suggested R</t>
    </r>
    <r>
      <rPr>
        <vertAlign val="subscript"/>
        <sz val="10"/>
        <rFont val="Arial"/>
        <family val="2"/>
      </rPr>
      <t>PFB(lower)</t>
    </r>
    <r>
      <rPr>
        <sz val="10"/>
        <rFont val="Arial"/>
        <family val="2"/>
      </rPr>
      <t xml:space="preserve"> =</t>
    </r>
  </si>
  <si>
    <r>
      <t>Actual R</t>
    </r>
    <r>
      <rPr>
        <vertAlign val="subscript"/>
        <sz val="10"/>
        <rFont val="Arial"/>
        <family val="2"/>
      </rPr>
      <t>PFB(lower)</t>
    </r>
    <r>
      <rPr>
        <sz val="10"/>
        <rFont val="Arial"/>
        <family val="2"/>
      </rPr>
      <t xml:space="preserve"> =</t>
    </r>
  </si>
  <si>
    <t>MOSFET</t>
  </si>
  <si>
    <r>
      <t>R</t>
    </r>
    <r>
      <rPr>
        <vertAlign val="subscript"/>
        <sz val="10"/>
        <rFont val="Arial"/>
        <family val="2"/>
      </rPr>
      <t>ds(on)</t>
    </r>
    <r>
      <rPr>
        <sz val="10"/>
        <rFont val="Arial"/>
        <family val="2"/>
      </rPr>
      <t xml:space="preserve"> =</t>
    </r>
  </si>
  <si>
    <r>
      <t>V</t>
    </r>
    <r>
      <rPr>
        <vertAlign val="subscript"/>
        <sz val="10"/>
        <rFont val="Arial"/>
        <family val="2"/>
      </rPr>
      <t>BVDSS</t>
    </r>
    <r>
      <rPr>
        <sz val="10"/>
        <rFont val="Arial"/>
        <family val="2"/>
      </rPr>
      <t xml:space="preserve"> =</t>
    </r>
  </si>
  <si>
    <r>
      <t>V</t>
    </r>
    <r>
      <rPr>
        <vertAlign val="subscript"/>
        <sz val="10"/>
        <rFont val="Arial"/>
        <family val="2"/>
      </rPr>
      <t>RRM</t>
    </r>
    <r>
      <rPr>
        <sz val="10"/>
        <rFont val="Arial"/>
        <family val="2"/>
      </rPr>
      <t xml:space="preserve"> =</t>
    </r>
  </si>
  <si>
    <r>
      <t>V</t>
    </r>
    <r>
      <rPr>
        <vertAlign val="subscript"/>
        <sz val="10"/>
        <rFont val="Arial"/>
        <family val="2"/>
      </rPr>
      <t>fwd</t>
    </r>
    <r>
      <rPr>
        <sz val="10"/>
        <rFont val="Arial"/>
        <family val="2"/>
      </rPr>
      <t xml:space="preserve"> =</t>
    </r>
  </si>
  <si>
    <r>
      <t>I</t>
    </r>
    <r>
      <rPr>
        <vertAlign val="subscript"/>
        <sz val="10"/>
        <rFont val="Arial"/>
        <family val="2"/>
      </rPr>
      <t>switch(RMS)</t>
    </r>
    <r>
      <rPr>
        <sz val="10"/>
        <rFont val="Arial"/>
        <family val="2"/>
      </rPr>
      <t xml:space="preserve"> =</t>
    </r>
  </si>
  <si>
    <r>
      <t>P</t>
    </r>
    <r>
      <rPr>
        <vertAlign val="subscript"/>
        <sz val="10"/>
        <rFont val="Arial"/>
        <family val="2"/>
      </rPr>
      <t>switch(conduction)</t>
    </r>
    <r>
      <rPr>
        <sz val="10"/>
        <rFont val="Arial"/>
        <family val="2"/>
      </rPr>
      <t xml:space="preserve"> =</t>
    </r>
  </si>
  <si>
    <r>
      <t>I</t>
    </r>
    <r>
      <rPr>
        <vertAlign val="subscript"/>
        <sz val="10"/>
        <rFont val="Arial"/>
        <family val="2"/>
      </rPr>
      <t>diode(rms)</t>
    </r>
    <r>
      <rPr>
        <sz val="10"/>
        <rFont val="Arial"/>
        <family val="2"/>
      </rPr>
      <t xml:space="preserve"> =</t>
    </r>
  </si>
  <si>
    <r>
      <t>I</t>
    </r>
    <r>
      <rPr>
        <vertAlign val="subscript"/>
        <sz val="10"/>
        <rFont val="Arial"/>
        <family val="2"/>
      </rPr>
      <t>switch(peak_MAX)</t>
    </r>
    <r>
      <rPr>
        <sz val="10"/>
        <rFont val="Arial"/>
        <family val="2"/>
      </rPr>
      <t xml:space="preserve"> =</t>
    </r>
  </si>
  <si>
    <r>
      <t>I</t>
    </r>
    <r>
      <rPr>
        <vertAlign val="subscript"/>
        <sz val="10"/>
        <rFont val="Arial"/>
        <family val="2"/>
      </rPr>
      <t>coil(peak)</t>
    </r>
    <r>
      <rPr>
        <sz val="10"/>
        <rFont val="Arial"/>
        <family val="2"/>
      </rPr>
      <t xml:space="preserve"> =</t>
    </r>
  </si>
  <si>
    <r>
      <t>I</t>
    </r>
    <r>
      <rPr>
        <vertAlign val="subscript"/>
        <sz val="10"/>
        <rFont val="Arial"/>
        <family val="2"/>
      </rPr>
      <t>coil(RMS)</t>
    </r>
    <r>
      <rPr>
        <sz val="10"/>
        <rFont val="Arial"/>
        <family val="2"/>
      </rPr>
      <t xml:space="preserve"> =</t>
    </r>
  </si>
  <si>
    <r>
      <t>I</t>
    </r>
    <r>
      <rPr>
        <vertAlign val="subscript"/>
        <sz val="10"/>
        <rFont val="Arial"/>
        <family val="2"/>
      </rPr>
      <t>diode(peak_MAX)</t>
    </r>
    <r>
      <rPr>
        <sz val="10"/>
        <rFont val="Arial"/>
        <family val="2"/>
      </rPr>
      <t xml:space="preserve"> =</t>
    </r>
  </si>
  <si>
    <r>
      <t>I</t>
    </r>
    <r>
      <rPr>
        <vertAlign val="subscript"/>
        <sz val="10"/>
        <rFont val="Arial"/>
        <family val="2"/>
      </rPr>
      <t>coil(peak_MAX)</t>
    </r>
    <r>
      <rPr>
        <sz val="10"/>
        <rFont val="Arial"/>
        <family val="2"/>
      </rPr>
      <t xml:space="preserve"> =</t>
    </r>
  </si>
  <si>
    <r>
      <t>R</t>
    </r>
    <r>
      <rPr>
        <vertAlign val="subscript"/>
        <sz val="10"/>
        <rFont val="Arial"/>
        <family val="2"/>
      </rPr>
      <t>dcr</t>
    </r>
    <r>
      <rPr>
        <sz val="10"/>
        <rFont val="Arial"/>
        <family val="2"/>
      </rPr>
      <t xml:space="preserve"> =</t>
    </r>
  </si>
  <si>
    <r>
      <t>P</t>
    </r>
    <r>
      <rPr>
        <vertAlign val="subscript"/>
        <sz val="10"/>
        <rFont val="Arial"/>
        <family val="2"/>
      </rPr>
      <t>diode</t>
    </r>
    <r>
      <rPr>
        <sz val="10"/>
        <rFont val="Arial"/>
        <family val="2"/>
      </rPr>
      <t xml:space="preserve"> =</t>
    </r>
  </si>
  <si>
    <r>
      <t>P</t>
    </r>
    <r>
      <rPr>
        <vertAlign val="subscript"/>
        <sz val="10"/>
        <rFont val="Arial"/>
        <family val="2"/>
      </rPr>
      <t>coil</t>
    </r>
    <r>
      <rPr>
        <sz val="10"/>
        <rFont val="Arial"/>
        <family val="2"/>
      </rPr>
      <t xml:space="preserve"> =</t>
    </r>
  </si>
  <si>
    <t>Diode</t>
  </si>
  <si>
    <t>Inductor</t>
  </si>
  <si>
    <t>Resistor</t>
  </si>
  <si>
    <r>
      <t>I</t>
    </r>
    <r>
      <rPr>
        <vertAlign val="subscript"/>
        <sz val="10"/>
        <rFont val="Arial"/>
        <family val="2"/>
      </rPr>
      <t>PSENSE(RMS)</t>
    </r>
    <r>
      <rPr>
        <sz val="10"/>
        <rFont val="Arial"/>
        <family val="2"/>
      </rPr>
      <t xml:space="preserve"> =</t>
    </r>
  </si>
  <si>
    <r>
      <t>V</t>
    </r>
    <r>
      <rPr>
        <b/>
        <vertAlign val="subscript"/>
        <sz val="10"/>
        <rFont val="Arial"/>
        <family val="2"/>
      </rPr>
      <t>P-P</t>
    </r>
  </si>
  <si>
    <t>Converted DMAX</t>
  </si>
  <si>
    <t>di/dt=</t>
  </si>
  <si>
    <t>T=</t>
  </si>
  <si>
    <t>Toff=</t>
  </si>
  <si>
    <t>Ipa=</t>
  </si>
  <si>
    <t>Imin=</t>
  </si>
  <si>
    <t>Ipeak=</t>
  </si>
  <si>
    <t>aux</t>
  </si>
  <si>
    <t>Lsec=</t>
  </si>
  <si>
    <t>Ftol2</t>
  </si>
  <si>
    <t>Copyright, Semiconductor Component Industries, LLC, 2013</t>
  </si>
  <si>
    <t>NCP1615 Design Tool Directions</t>
  </si>
  <si>
    <t>Enter the input and output specifications and
 choose the ZCD turns ratio.</t>
  </si>
  <si>
    <t>Step 3: External Components</t>
  </si>
  <si>
    <t>Step 4: Type-2 Loop Compensation</t>
  </si>
  <si>
    <r>
      <t>V</t>
    </r>
    <r>
      <rPr>
        <b/>
        <vertAlign val="subscript"/>
        <sz val="10"/>
        <rFont val="Arial"/>
        <family val="2"/>
      </rPr>
      <t>BUV</t>
    </r>
  </si>
  <si>
    <r>
      <t>V</t>
    </r>
    <r>
      <rPr>
        <b/>
        <vertAlign val="subscript"/>
        <sz val="10"/>
        <rFont val="Arial"/>
        <family val="2"/>
      </rPr>
      <t>FOVP</t>
    </r>
  </si>
  <si>
    <r>
      <t>V</t>
    </r>
    <r>
      <rPr>
        <b/>
        <vertAlign val="subscript"/>
        <sz val="10"/>
        <rFont val="Arial"/>
        <family val="2"/>
      </rPr>
      <t>PFCOK</t>
    </r>
  </si>
  <si>
    <r>
      <t>I</t>
    </r>
    <r>
      <rPr>
        <b/>
        <vertAlign val="subscript"/>
        <sz val="10"/>
        <rFont val="Arial"/>
        <family val="2"/>
      </rPr>
      <t>standby</t>
    </r>
  </si>
  <si>
    <r>
      <t>t</t>
    </r>
    <r>
      <rPr>
        <b/>
        <vertAlign val="subscript"/>
        <sz val="10"/>
        <rFont val="Arial"/>
        <family val="2"/>
      </rPr>
      <t>on(HL)</t>
    </r>
  </si>
  <si>
    <r>
      <t>t</t>
    </r>
    <r>
      <rPr>
        <b/>
        <vertAlign val="subscript"/>
        <sz val="10"/>
        <rFont val="Arial"/>
        <family val="2"/>
      </rPr>
      <t>on(LL)</t>
    </r>
  </si>
  <si>
    <t>SOVP Threshold =</t>
  </si>
  <si>
    <t>FOVP Threshold =</t>
  </si>
  <si>
    <t>BUV Threshold =</t>
  </si>
  <si>
    <r>
      <t>t</t>
    </r>
    <r>
      <rPr>
        <vertAlign val="subscript"/>
        <sz val="10"/>
        <rFont val="Arial"/>
        <family val="2"/>
      </rPr>
      <t>onLL(MAX)</t>
    </r>
    <r>
      <rPr>
        <sz val="10"/>
        <rFont val="Arial"/>
        <family val="2"/>
      </rPr>
      <t xml:space="preserve"> ≥</t>
    </r>
  </si>
  <si>
    <r>
      <t>t</t>
    </r>
    <r>
      <rPr>
        <vertAlign val="subscript"/>
        <sz val="10"/>
        <rFont val="Arial"/>
        <family val="2"/>
      </rPr>
      <t>onHL(MAX)</t>
    </r>
    <r>
      <rPr>
        <sz val="10"/>
        <rFont val="Arial"/>
        <family val="2"/>
      </rPr>
      <t xml:space="preserve"> ≥</t>
    </r>
  </si>
  <si>
    <t>I=CdV/dt</t>
  </si>
  <si>
    <t>I</t>
  </si>
  <si>
    <t>C</t>
  </si>
  <si>
    <t>dV</t>
  </si>
  <si>
    <t>dt</t>
  </si>
  <si>
    <t>Step 5: Power Components</t>
  </si>
</sst>
</file>

<file path=xl/styles.xml><?xml version="1.0" encoding="utf-8"?>
<styleSheet xmlns="http://schemas.openxmlformats.org/spreadsheetml/2006/main">
  <numFmts count="4">
    <numFmt numFmtId="164" formatCode="0.0"/>
    <numFmt numFmtId="165" formatCode="0.000"/>
    <numFmt numFmtId="166" formatCode="##0.000E+0"/>
    <numFmt numFmtId="167" formatCode="0.000000000000"/>
  </numFmts>
  <fonts count="16">
    <font>
      <sz val="10"/>
      <name val="Arial"/>
    </font>
    <font>
      <b/>
      <sz val="10"/>
      <name val="Arial"/>
      <family val="2"/>
    </font>
    <font>
      <sz val="10"/>
      <name val="Arial"/>
      <family val="2"/>
    </font>
    <font>
      <vertAlign val="subscript"/>
      <sz val="10"/>
      <name val="Arial"/>
      <family val="2"/>
    </font>
    <font>
      <b/>
      <vertAlign val="subscript"/>
      <sz val="10"/>
      <name val="Arial"/>
      <family val="2"/>
    </font>
    <font>
      <sz val="8"/>
      <name val="Arial"/>
      <family val="2"/>
    </font>
    <font>
      <b/>
      <sz val="10"/>
      <name val="Arial"/>
      <family val="2"/>
    </font>
    <font>
      <b/>
      <sz val="11"/>
      <color theme="1"/>
      <name val="Calibri"/>
      <family val="2"/>
      <scheme val="minor"/>
    </font>
    <font>
      <sz val="10"/>
      <name val="Arial"/>
      <family val="2"/>
    </font>
    <font>
      <b/>
      <sz val="8"/>
      <color indexed="81"/>
      <name val="Tahoma"/>
      <family val="2"/>
    </font>
    <font>
      <sz val="8"/>
      <color indexed="81"/>
      <name val="Tahoma"/>
      <family val="2"/>
    </font>
    <font>
      <u/>
      <sz val="10"/>
      <color theme="10"/>
      <name val="Arial"/>
      <family val="2"/>
    </font>
    <font>
      <b/>
      <sz val="14"/>
      <name val="Arial"/>
      <family val="2"/>
    </font>
    <font>
      <b/>
      <sz val="12"/>
      <name val="Arial"/>
      <family val="2"/>
    </font>
    <font>
      <sz val="10"/>
      <color indexed="81"/>
      <name val="Tahoma"/>
      <family val="2"/>
    </font>
    <font>
      <vertAlign val="subscript"/>
      <sz val="10"/>
      <color indexed="81"/>
      <name val="Tahoma"/>
      <family val="2"/>
    </font>
  </fonts>
  <fills count="6">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rgb="FFFF0000"/>
        <bgColor indexed="64"/>
      </patternFill>
    </fill>
    <fill>
      <patternFill patternType="solid">
        <fgColor rgb="FFCCFF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174">
    <xf numFmtId="0" fontId="0" fillId="0" borderId="0" xfId="0"/>
    <xf numFmtId="0" fontId="1" fillId="0" borderId="0" xfId="0" applyFont="1"/>
    <xf numFmtId="0" fontId="2" fillId="0" borderId="0" xfId="0" applyFont="1" applyAlignment="1">
      <alignment horizontal="left"/>
    </xf>
    <xf numFmtId="0" fontId="0" fillId="0" borderId="0" xfId="0" applyAlignment="1">
      <alignment horizontal="right"/>
    </xf>
    <xf numFmtId="0" fontId="2" fillId="0" borderId="0" xfId="0" applyFont="1" applyFill="1" applyBorder="1" applyAlignment="1">
      <alignment horizontal="left"/>
    </xf>
    <xf numFmtId="0" fontId="2" fillId="0" borderId="0" xfId="0" applyFont="1" applyBorder="1" applyAlignment="1">
      <alignment horizontal="left"/>
    </xf>
    <xf numFmtId="0" fontId="0" fillId="0" borderId="0" xfId="0" applyFill="1"/>
    <xf numFmtId="0" fontId="1" fillId="0" borderId="0" xfId="0" applyFont="1" applyAlignment="1">
      <alignment horizontal="left"/>
    </xf>
    <xf numFmtId="0" fontId="0" fillId="0" borderId="0" xfId="0" applyAlignment="1">
      <alignment horizontal="left"/>
    </xf>
    <xf numFmtId="0" fontId="2" fillId="0" borderId="0" xfId="0" applyFont="1" applyAlignment="1">
      <alignment horizontal="right"/>
    </xf>
    <xf numFmtId="0" fontId="1" fillId="0" borderId="0" xfId="0" applyFont="1" applyAlignment="1"/>
    <xf numFmtId="0" fontId="0" fillId="2" borderId="0" xfId="0" applyFill="1" applyProtection="1">
      <protection locked="0"/>
    </xf>
    <xf numFmtId="0" fontId="1" fillId="0" borderId="0" xfId="0" applyFont="1" applyFill="1" applyAlignment="1" applyProtection="1">
      <alignment horizontal="left"/>
      <protection hidden="1"/>
    </xf>
    <xf numFmtId="0" fontId="0" fillId="0" borderId="0" xfId="0" applyFill="1" applyAlignment="1" applyProtection="1">
      <alignment horizontal="center"/>
      <protection hidden="1"/>
    </xf>
    <xf numFmtId="0" fontId="0" fillId="0" borderId="0" xfId="0" applyProtection="1">
      <protection hidden="1"/>
    </xf>
    <xf numFmtId="0" fontId="1" fillId="0" borderId="0" xfId="0" applyFont="1" applyFill="1" applyAlignment="1" applyProtection="1">
      <alignment horizontal="center"/>
      <protection hidden="1"/>
    </xf>
    <xf numFmtId="0" fontId="1" fillId="0" borderId="1" xfId="0" applyFont="1" applyFill="1" applyBorder="1" applyAlignment="1" applyProtection="1">
      <alignment horizontal="center"/>
      <protection hidden="1"/>
    </xf>
    <xf numFmtId="0" fontId="0" fillId="0" borderId="1" xfId="0" applyFill="1" applyBorder="1" applyAlignment="1" applyProtection="1">
      <alignment horizontal="center"/>
      <protection hidden="1"/>
    </xf>
    <xf numFmtId="0" fontId="6" fillId="0" borderId="1" xfId="0" applyFont="1" applyFill="1" applyBorder="1" applyAlignment="1" applyProtection="1">
      <alignment horizontal="center"/>
      <protection hidden="1"/>
    </xf>
    <xf numFmtId="0" fontId="0" fillId="3" borderId="0" xfId="0" applyFill="1"/>
    <xf numFmtId="0" fontId="2" fillId="0" borderId="0" xfId="0" applyFont="1" applyAlignment="1" applyProtection="1">
      <alignment horizontal="right"/>
    </xf>
    <xf numFmtId="0" fontId="1" fillId="0" borderId="0" xfId="0" applyFont="1" applyAlignment="1" applyProtection="1"/>
    <xf numFmtId="0" fontId="2" fillId="0" borderId="0" xfId="0" applyFont="1"/>
    <xf numFmtId="1" fontId="0" fillId="0" borderId="0" xfId="0" applyNumberFormat="1" applyProtection="1">
      <protection locked="0"/>
    </xf>
    <xf numFmtId="164" fontId="0" fillId="0" borderId="0" xfId="0" applyNumberFormat="1" applyProtection="1">
      <protection locked="0"/>
    </xf>
    <xf numFmtId="2" fontId="0" fillId="0" borderId="0" xfId="0" applyNumberFormat="1" applyProtection="1">
      <protection locked="0"/>
    </xf>
    <xf numFmtId="0" fontId="7" fillId="0" borderId="0" xfId="0" applyFont="1"/>
    <xf numFmtId="0" fontId="0" fillId="0" borderId="0" xfId="0" applyProtection="1">
      <protection locked="0"/>
    </xf>
    <xf numFmtId="164" fontId="0" fillId="0" borderId="0" xfId="0" applyNumberFormat="1"/>
    <xf numFmtId="2" fontId="0" fillId="0" borderId="0" xfId="0" applyNumberFormat="1"/>
    <xf numFmtId="165" fontId="0" fillId="0" borderId="0" xfId="0" applyNumberFormat="1"/>
    <xf numFmtId="0" fontId="0" fillId="0" borderId="0" xfId="0" applyFont="1"/>
    <xf numFmtId="0" fontId="0" fillId="0" borderId="0" xfId="0" applyFill="1" applyProtection="1">
      <protection locked="0"/>
    </xf>
    <xf numFmtId="2" fontId="2" fillId="0" borderId="0" xfId="0" applyNumberFormat="1" applyFont="1"/>
    <xf numFmtId="165" fontId="2" fillId="0" borderId="0" xfId="0" applyNumberFormat="1" applyFont="1"/>
    <xf numFmtId="164" fontId="2" fillId="0" borderId="0" xfId="0" applyNumberFormat="1" applyFont="1"/>
    <xf numFmtId="0" fontId="2" fillId="0" borderId="0" xfId="0" applyNumberFormat="1" applyFont="1"/>
    <xf numFmtId="0" fontId="0" fillId="0" borderId="0" xfId="0" applyNumberFormat="1"/>
    <xf numFmtId="48" fontId="7" fillId="0" borderId="0" xfId="0" applyNumberFormat="1" applyFont="1"/>
    <xf numFmtId="48" fontId="0" fillId="0" borderId="0" xfId="0" applyNumberFormat="1"/>
    <xf numFmtId="164" fontId="7" fillId="0" borderId="0" xfId="0" applyNumberFormat="1" applyFont="1"/>
    <xf numFmtId="1" fontId="0" fillId="0" borderId="0" xfId="0" applyNumberFormat="1"/>
    <xf numFmtId="48" fontId="0" fillId="0" borderId="0" xfId="0" quotePrefix="1" applyNumberFormat="1"/>
    <xf numFmtId="166" fontId="0" fillId="0" borderId="0" xfId="0" applyNumberFormat="1"/>
    <xf numFmtId="11" fontId="0" fillId="0" borderId="0" xfId="0" applyNumberFormat="1"/>
    <xf numFmtId="166" fontId="7" fillId="0" borderId="0" xfId="0" applyNumberFormat="1" applyFont="1"/>
    <xf numFmtId="0" fontId="7" fillId="0" borderId="0" xfId="0" applyNumberFormat="1" applyFont="1"/>
    <xf numFmtId="0" fontId="2" fillId="4" borderId="0" xfId="0" applyFont="1" applyFill="1" applyProtection="1">
      <protection hidden="1"/>
    </xf>
    <xf numFmtId="0" fontId="0" fillId="4" borderId="0" xfId="0" applyFill="1" applyProtection="1">
      <protection hidden="1"/>
    </xf>
    <xf numFmtId="0" fontId="0" fillId="4" borderId="0" xfId="0" applyFont="1" applyFill="1" applyProtection="1">
      <protection hidden="1"/>
    </xf>
    <xf numFmtId="2" fontId="0" fillId="4" borderId="0" xfId="0" applyNumberFormat="1" applyFill="1" applyProtection="1">
      <protection hidden="1"/>
    </xf>
    <xf numFmtId="0" fontId="2" fillId="4" borderId="0" xfId="0" applyFont="1" applyFill="1" applyBorder="1" applyProtection="1">
      <protection hidden="1"/>
    </xf>
    <xf numFmtId="0" fontId="0" fillId="4" borderId="0" xfId="0" applyFill="1" applyBorder="1" applyProtection="1">
      <protection hidden="1"/>
    </xf>
    <xf numFmtId="0" fontId="12" fillId="0" borderId="0" xfId="0" applyFont="1" applyProtection="1">
      <protection hidden="1"/>
    </xf>
    <xf numFmtId="0" fontId="2" fillId="0" borderId="1" xfId="0" applyFont="1" applyBorder="1" applyProtection="1">
      <protection hidden="1"/>
    </xf>
    <xf numFmtId="0" fontId="0" fillId="2" borderId="1" xfId="0" applyFill="1" applyBorder="1" applyProtection="1">
      <protection locked="0" hidden="1"/>
    </xf>
    <xf numFmtId="0" fontId="1" fillId="0" borderId="1" xfId="0" applyFont="1" applyBorder="1" applyProtection="1">
      <protection hidden="1"/>
    </xf>
    <xf numFmtId="0" fontId="2" fillId="0" borderId="0" xfId="0" applyFont="1" applyProtection="1">
      <protection hidden="1"/>
    </xf>
    <xf numFmtId="0" fontId="2" fillId="0" borderId="1" xfId="0" applyFont="1" applyFill="1" applyBorder="1" applyProtection="1">
      <protection hidden="1"/>
    </xf>
    <xf numFmtId="164" fontId="0" fillId="3" borderId="1" xfId="0" applyNumberFormat="1" applyFill="1" applyBorder="1" applyAlignment="1" applyProtection="1">
      <alignment horizontal="center"/>
      <protection hidden="1"/>
    </xf>
    <xf numFmtId="0" fontId="2" fillId="0" borderId="1" xfId="0" applyFont="1" applyBorder="1" applyAlignment="1" applyProtection="1">
      <alignment horizontal="center"/>
      <protection hidden="1"/>
    </xf>
    <xf numFmtId="164" fontId="0" fillId="2" borderId="1" xfId="0" applyNumberFormat="1" applyFill="1" applyBorder="1" applyProtection="1">
      <protection locked="0" hidden="1"/>
    </xf>
    <xf numFmtId="164" fontId="0" fillId="0" borderId="0" xfId="0" applyNumberFormat="1" applyFill="1" applyBorder="1" applyProtection="1">
      <protection hidden="1"/>
    </xf>
    <xf numFmtId="0" fontId="0" fillId="0" borderId="0" xfId="0" applyFill="1" applyProtection="1">
      <protection hidden="1"/>
    </xf>
    <xf numFmtId="0" fontId="0" fillId="0" borderId="0" xfId="0" applyAlignment="1" applyProtection="1">
      <protection hidden="1"/>
    </xf>
    <xf numFmtId="1" fontId="0" fillId="3" borderId="1" xfId="0" applyNumberFormat="1" applyFill="1" applyBorder="1" applyAlignment="1" applyProtection="1">
      <alignment horizontal="center"/>
      <protection hidden="1"/>
    </xf>
    <xf numFmtId="0" fontId="2" fillId="0" borderId="0" xfId="0" applyFont="1" applyAlignment="1" applyProtection="1">
      <alignment horizontal="left"/>
      <protection hidden="1"/>
    </xf>
    <xf numFmtId="0" fontId="1" fillId="0" borderId="0" xfId="0" applyFont="1" applyProtection="1">
      <protection hidden="1"/>
    </xf>
    <xf numFmtId="0" fontId="1" fillId="0" borderId="0" xfId="0" applyFont="1" applyFill="1" applyBorder="1" applyProtection="1">
      <protection hidden="1"/>
    </xf>
    <xf numFmtId="1" fontId="0" fillId="2" borderId="1" xfId="0" applyNumberFormat="1" applyFill="1" applyBorder="1" applyProtection="1">
      <protection locked="0" hidden="1"/>
    </xf>
    <xf numFmtId="0" fontId="1" fillId="0" borderId="1" xfId="0" applyFont="1" applyFill="1" applyBorder="1" applyProtection="1">
      <protection hidden="1"/>
    </xf>
    <xf numFmtId="0" fontId="2" fillId="0" borderId="1" xfId="0" applyFont="1" applyBorder="1" applyAlignment="1" applyProtection="1">
      <alignment horizontal="left"/>
      <protection hidden="1"/>
    </xf>
    <xf numFmtId="2" fontId="0" fillId="0" borderId="1" xfId="0" applyNumberFormat="1" applyBorder="1" applyProtection="1">
      <protection hidden="1"/>
    </xf>
    <xf numFmtId="164" fontId="0" fillId="3" borderId="1" xfId="0" applyNumberFormat="1" applyFill="1" applyBorder="1" applyProtection="1">
      <protection hidden="1"/>
    </xf>
    <xf numFmtId="0" fontId="0" fillId="0" borderId="0" xfId="0" applyFont="1" applyFill="1" applyBorder="1" applyProtection="1">
      <protection hidden="1"/>
    </xf>
    <xf numFmtId="0" fontId="2" fillId="0" borderId="0" xfId="0" applyFont="1" applyFill="1" applyBorder="1" applyProtection="1">
      <protection hidden="1"/>
    </xf>
    <xf numFmtId="0" fontId="13" fillId="0" borderId="0" xfId="0" applyFont="1" applyAlignment="1" applyProtection="1">
      <protection hidden="1"/>
    </xf>
    <xf numFmtId="164" fontId="2" fillId="0" borderId="0" xfId="0" applyNumberFormat="1" applyFont="1" applyProtection="1">
      <protection hidden="1"/>
    </xf>
    <xf numFmtId="0" fontId="0" fillId="0" borderId="0" xfId="0" applyBorder="1" applyAlignment="1" applyProtection="1">
      <alignment vertical="top" wrapText="1"/>
      <protection hidden="1"/>
    </xf>
    <xf numFmtId="0" fontId="8" fillId="0" borderId="0" xfId="0" applyFont="1" applyBorder="1" applyAlignment="1" applyProtection="1">
      <alignment vertical="top" wrapText="1"/>
      <protection hidden="1"/>
    </xf>
    <xf numFmtId="0" fontId="1" fillId="0" borderId="0" xfId="0" applyFont="1" applyAlignment="1" applyProtection="1">
      <alignment horizontal="right"/>
      <protection hidden="1"/>
    </xf>
    <xf numFmtId="0" fontId="8" fillId="0" borderId="1" xfId="0" applyFont="1" applyBorder="1" applyAlignment="1" applyProtection="1">
      <alignment vertical="top" wrapText="1"/>
      <protection hidden="1"/>
    </xf>
    <xf numFmtId="0" fontId="8" fillId="0" borderId="0" xfId="0" applyFont="1" applyBorder="1" applyAlignment="1" applyProtection="1">
      <protection hidden="1"/>
    </xf>
    <xf numFmtId="0" fontId="1" fillId="0" borderId="0" xfId="0" applyFont="1" applyBorder="1" applyAlignment="1" applyProtection="1">
      <protection hidden="1"/>
    </xf>
    <xf numFmtId="0" fontId="8" fillId="0" borderId="0" xfId="0" applyFont="1" applyBorder="1" applyAlignment="1" applyProtection="1">
      <alignment horizontal="left" vertical="top" wrapText="1"/>
      <protection hidden="1"/>
    </xf>
    <xf numFmtId="0" fontId="8" fillId="2" borderId="1" xfId="0" applyFont="1" applyFill="1" applyBorder="1" applyAlignment="1" applyProtection="1">
      <alignment vertical="top" wrapText="1"/>
      <protection hidden="1"/>
    </xf>
    <xf numFmtId="0" fontId="8" fillId="3" borderId="1" xfId="0" applyFont="1" applyFill="1" applyBorder="1" applyAlignment="1" applyProtection="1">
      <alignment vertical="top" wrapText="1"/>
      <protection hidden="1"/>
    </xf>
    <xf numFmtId="0" fontId="1" fillId="0" borderId="0" xfId="0" applyFont="1" applyBorder="1" applyAlignment="1" applyProtection="1">
      <alignment vertical="top" wrapText="1"/>
      <protection hidden="1"/>
    </xf>
    <xf numFmtId="0" fontId="8" fillId="0" borderId="0" xfId="0" applyFont="1" applyBorder="1" applyAlignment="1" applyProtection="1">
      <alignment horizontal="left" vertical="top"/>
      <protection hidden="1"/>
    </xf>
    <xf numFmtId="0" fontId="11" fillId="0" borderId="0" xfId="1" applyBorder="1" applyAlignment="1" applyProtection="1">
      <alignment horizontal="left" vertical="top"/>
      <protection hidden="1"/>
    </xf>
    <xf numFmtId="0" fontId="1" fillId="0" borderId="0" xfId="0" applyFont="1" applyBorder="1" applyAlignment="1" applyProtection="1">
      <alignment horizontal="left" vertical="top"/>
      <protection hidden="1"/>
    </xf>
    <xf numFmtId="164" fontId="0" fillId="3" borderId="1" xfId="0" applyNumberFormat="1" applyFill="1" applyBorder="1" applyAlignment="1" applyProtection="1">
      <alignment horizontal="right"/>
      <protection hidden="1"/>
    </xf>
    <xf numFmtId="0" fontId="1" fillId="0" borderId="1" xfId="0" applyFont="1" applyFill="1" applyBorder="1" applyAlignment="1" applyProtection="1">
      <alignment horizontal="left"/>
      <protection hidden="1"/>
    </xf>
    <xf numFmtId="164" fontId="0" fillId="0" borderId="1" xfId="0" applyNumberFormat="1" applyBorder="1" applyProtection="1">
      <protection hidden="1"/>
    </xf>
    <xf numFmtId="0" fontId="1" fillId="0" borderId="1" xfId="0" applyFont="1" applyBorder="1" applyAlignment="1" applyProtection="1">
      <alignment horizontal="left"/>
      <protection hidden="1"/>
    </xf>
    <xf numFmtId="0" fontId="0" fillId="0" borderId="0" xfId="0" applyFill="1" applyBorder="1" applyProtection="1">
      <protection hidden="1"/>
    </xf>
    <xf numFmtId="0" fontId="0" fillId="0" borderId="0" xfId="0" applyAlignment="1" applyProtection="1">
      <alignment horizontal="right"/>
      <protection hidden="1"/>
    </xf>
    <xf numFmtId="2" fontId="0" fillId="3" borderId="0" xfId="0" applyNumberFormat="1" applyFill="1" applyProtection="1">
      <protection hidden="1"/>
    </xf>
    <xf numFmtId="0" fontId="1" fillId="0" borderId="0" xfId="0" applyFont="1" applyFill="1" applyBorder="1" applyAlignment="1" applyProtection="1">
      <alignment horizontal="left"/>
      <protection hidden="1"/>
    </xf>
    <xf numFmtId="0" fontId="2" fillId="0" borderId="0" xfId="0" applyFont="1" applyAlignment="1" applyProtection="1">
      <alignment horizontal="right"/>
      <protection hidden="1"/>
    </xf>
    <xf numFmtId="0" fontId="0" fillId="2" borderId="0" xfId="0" applyFill="1" applyProtection="1">
      <protection locked="0" hidden="1"/>
    </xf>
    <xf numFmtId="0" fontId="1" fillId="0" borderId="0" xfId="0" applyFont="1" applyAlignment="1" applyProtection="1">
      <alignment horizontal="left"/>
      <protection hidden="1"/>
    </xf>
    <xf numFmtId="2" fontId="0" fillId="2" borderId="0" xfId="0" applyNumberFormat="1" applyFill="1" applyBorder="1" applyProtection="1">
      <protection locked="0" hidden="1"/>
    </xf>
    <xf numFmtId="164" fontId="0" fillId="3" borderId="0" xfId="0" applyNumberFormat="1" applyFill="1" applyProtection="1">
      <protection hidden="1"/>
    </xf>
    <xf numFmtId="2" fontId="0" fillId="5" borderId="0" xfId="0" applyNumberFormat="1" applyFill="1" applyBorder="1" applyProtection="1">
      <protection hidden="1"/>
    </xf>
    <xf numFmtId="1" fontId="0" fillId="2" borderId="0" xfId="0" applyNumberFormat="1" applyFill="1" applyProtection="1">
      <protection locked="0" hidden="1"/>
    </xf>
    <xf numFmtId="2" fontId="0" fillId="2" borderId="0" xfId="0" applyNumberFormat="1" applyFill="1" applyProtection="1">
      <protection locked="0" hidden="1"/>
    </xf>
    <xf numFmtId="164" fontId="0" fillId="2" borderId="0" xfId="0" applyNumberFormat="1" applyFill="1" applyProtection="1">
      <protection locked="0" hidden="1"/>
    </xf>
    <xf numFmtId="0" fontId="1" fillId="0" borderId="0" xfId="0" applyFont="1" applyFill="1" applyBorder="1" applyAlignment="1" applyProtection="1">
      <alignment horizontal="right"/>
      <protection hidden="1"/>
    </xf>
    <xf numFmtId="2" fontId="2" fillId="3" borderId="0" xfId="0" applyNumberFormat="1" applyFont="1" applyFill="1" applyProtection="1">
      <protection hidden="1"/>
    </xf>
    <xf numFmtId="165" fontId="0" fillId="0" borderId="0" xfId="0" applyNumberFormat="1" applyProtection="1">
      <protection hidden="1"/>
    </xf>
    <xf numFmtId="0" fontId="1" fillId="0" borderId="0" xfId="0" applyFont="1" applyAlignment="1" applyProtection="1">
      <alignment horizontal="center"/>
      <protection hidden="1"/>
    </xf>
    <xf numFmtId="2" fontId="0" fillId="0" borderId="0" xfId="0" applyNumberFormat="1" applyProtection="1">
      <protection hidden="1"/>
    </xf>
    <xf numFmtId="0" fontId="2" fillId="0" borderId="0" xfId="0" applyFont="1" applyFill="1" applyBorder="1" applyAlignment="1" applyProtection="1">
      <alignment horizontal="right"/>
      <protection hidden="1"/>
    </xf>
    <xf numFmtId="164" fontId="0" fillId="0" borderId="0" xfId="0" applyNumberFormat="1" applyProtection="1">
      <protection hidden="1"/>
    </xf>
    <xf numFmtId="1" fontId="0" fillId="0" borderId="0" xfId="0" applyNumberFormat="1" applyProtection="1">
      <protection hidden="1"/>
    </xf>
    <xf numFmtId="0" fontId="1" fillId="0" borderId="0" xfId="0" applyFont="1" applyAlignment="1" applyProtection="1">
      <protection hidden="1"/>
    </xf>
    <xf numFmtId="0" fontId="1" fillId="0" borderId="0" xfId="0" applyFont="1" applyFill="1" applyProtection="1">
      <protection hidden="1"/>
    </xf>
    <xf numFmtId="0" fontId="2" fillId="0" borderId="0" xfId="0" applyFont="1" applyFill="1" applyAlignment="1" applyProtection="1">
      <alignment horizontal="left"/>
      <protection hidden="1"/>
    </xf>
    <xf numFmtId="164" fontId="0" fillId="0" borderId="0" xfId="0" applyNumberFormat="1" applyFill="1" applyProtection="1">
      <protection hidden="1"/>
    </xf>
    <xf numFmtId="0" fontId="13" fillId="0" borderId="3" xfId="0" applyFont="1" applyBorder="1" applyAlignment="1" applyProtection="1">
      <protection hidden="1"/>
    </xf>
    <xf numFmtId="0" fontId="1" fillId="0" borderId="3" xfId="0" applyFont="1" applyBorder="1" applyAlignment="1" applyProtection="1">
      <protection hidden="1"/>
    </xf>
    <xf numFmtId="0" fontId="2" fillId="0" borderId="5" xfId="0" applyFont="1" applyBorder="1" applyAlignment="1" applyProtection="1">
      <alignment horizontal="right"/>
      <protection hidden="1"/>
    </xf>
    <xf numFmtId="1" fontId="0" fillId="3" borderId="5" xfId="0" applyNumberFormat="1" applyFill="1" applyBorder="1" applyProtection="1">
      <protection hidden="1"/>
    </xf>
    <xf numFmtId="0" fontId="1" fillId="0" borderId="6" xfId="0" applyFont="1" applyBorder="1" applyProtection="1">
      <protection hidden="1"/>
    </xf>
    <xf numFmtId="0" fontId="2" fillId="0" borderId="1" xfId="0" applyFont="1" applyBorder="1" applyAlignment="1" applyProtection="1">
      <alignment horizontal="right"/>
      <protection hidden="1"/>
    </xf>
    <xf numFmtId="0" fontId="0" fillId="0" borderId="0" xfId="0" applyFill="1" applyAlignment="1" applyProtection="1">
      <alignment horizontal="right"/>
      <protection hidden="1"/>
    </xf>
    <xf numFmtId="2" fontId="0" fillId="0" borderId="0" xfId="0" applyNumberFormat="1" applyFill="1" applyProtection="1">
      <protection hidden="1"/>
    </xf>
    <xf numFmtId="2" fontId="0" fillId="3" borderId="1" xfId="0" applyNumberFormat="1" applyFill="1" applyBorder="1" applyProtection="1">
      <protection hidden="1"/>
    </xf>
    <xf numFmtId="0" fontId="1" fillId="0" borderId="8" xfId="0" applyFont="1" applyBorder="1" applyProtection="1">
      <protection hidden="1"/>
    </xf>
    <xf numFmtId="0" fontId="1" fillId="0" borderId="8" xfId="0" applyFont="1" applyBorder="1" applyAlignment="1" applyProtection="1">
      <alignment horizontal="left"/>
      <protection hidden="1"/>
    </xf>
    <xf numFmtId="0" fontId="2" fillId="0" borderId="10" xfId="0" applyFont="1" applyBorder="1" applyAlignment="1" applyProtection="1">
      <alignment horizontal="right"/>
      <protection hidden="1"/>
    </xf>
    <xf numFmtId="2" fontId="0" fillId="3" borderId="10" xfId="0" applyNumberFormat="1" applyFill="1" applyBorder="1" applyProtection="1">
      <protection hidden="1"/>
    </xf>
    <xf numFmtId="0" fontId="1" fillId="0" borderId="11" xfId="0" applyFont="1" applyBorder="1" applyProtection="1">
      <protection hidden="1"/>
    </xf>
    <xf numFmtId="2" fontId="0" fillId="0" borderId="0" xfId="0" applyNumberFormat="1" applyFill="1" applyBorder="1" applyProtection="1">
      <protection hidden="1"/>
    </xf>
    <xf numFmtId="0" fontId="2" fillId="0" borderId="0" xfId="0" applyFont="1" applyFill="1" applyBorder="1" applyAlignment="1" applyProtection="1">
      <alignment horizontal="left"/>
      <protection hidden="1"/>
    </xf>
    <xf numFmtId="2" fontId="0" fillId="2" borderId="1" xfId="0" applyNumberFormat="1" applyFill="1" applyBorder="1" applyProtection="1">
      <protection locked="0" hidden="1"/>
    </xf>
    <xf numFmtId="2" fontId="0" fillId="3" borderId="5" xfId="0" applyNumberFormat="1" applyFill="1" applyBorder="1" applyProtection="1">
      <protection hidden="1"/>
    </xf>
    <xf numFmtId="165" fontId="0" fillId="2" borderId="1" xfId="0" applyNumberFormat="1" applyFill="1" applyBorder="1" applyProtection="1">
      <protection locked="0" hidden="1"/>
    </xf>
    <xf numFmtId="2" fontId="2" fillId="0" borderId="0" xfId="0" applyNumberFormat="1" applyFont="1" applyProtection="1">
      <protection hidden="1"/>
    </xf>
    <xf numFmtId="0" fontId="1" fillId="0" borderId="6" xfId="0" applyFont="1" applyBorder="1" applyAlignment="1" applyProtection="1">
      <alignment horizontal="left"/>
      <protection hidden="1"/>
    </xf>
    <xf numFmtId="0" fontId="1" fillId="0" borderId="11" xfId="0" applyFont="1" applyBorder="1" applyAlignment="1" applyProtection="1">
      <alignment horizontal="left"/>
      <protection hidden="1"/>
    </xf>
    <xf numFmtId="2" fontId="0" fillId="0" borderId="0" xfId="0" applyNumberFormat="1" applyFill="1" applyBorder="1" applyAlignment="1" applyProtection="1">
      <protection hidden="1"/>
    </xf>
    <xf numFmtId="167" fontId="0" fillId="0" borderId="0" xfId="0" applyNumberFormat="1" applyFill="1" applyBorder="1" applyProtection="1">
      <protection hidden="1"/>
    </xf>
    <xf numFmtId="0" fontId="2" fillId="0" borderId="0" xfId="0" applyFont="1" applyFill="1" applyBorder="1" applyAlignment="1" applyProtection="1">
      <alignment horizontal="center"/>
      <protection hidden="1"/>
    </xf>
    <xf numFmtId="164" fontId="0" fillId="0" borderId="0" xfId="0" applyNumberFormat="1" applyFill="1" applyBorder="1" applyAlignment="1" applyProtection="1">
      <alignment horizontal="center"/>
      <protection hidden="1"/>
    </xf>
    <xf numFmtId="164" fontId="0" fillId="0" borderId="0" xfId="0" applyNumberFormat="1" applyFill="1" applyBorder="1" applyAlignment="1" applyProtection="1">
      <protection hidden="1"/>
    </xf>
    <xf numFmtId="1" fontId="0" fillId="0" borderId="0" xfId="0" applyNumberFormat="1" applyFill="1" applyBorder="1" applyAlignment="1" applyProtection="1">
      <protection hidden="1"/>
    </xf>
    <xf numFmtId="1" fontId="0" fillId="0" borderId="0" xfId="0" applyNumberFormat="1" applyFill="1" applyBorder="1" applyAlignment="1" applyProtection="1">
      <alignment horizontal="center"/>
      <protection hidden="1"/>
    </xf>
    <xf numFmtId="0" fontId="1" fillId="0" borderId="0" xfId="0" applyFont="1" applyBorder="1" applyAlignment="1" applyProtection="1">
      <alignment horizontal="left"/>
      <protection hidden="1"/>
    </xf>
    <xf numFmtId="1" fontId="0" fillId="0" borderId="0" xfId="0" applyNumberFormat="1" applyFill="1" applyBorder="1" applyProtection="1">
      <protection hidden="1"/>
    </xf>
    <xf numFmtId="165" fontId="0" fillId="0" borderId="0" xfId="0" applyNumberFormat="1" applyFill="1" applyBorder="1" applyProtection="1">
      <protection hidden="1"/>
    </xf>
    <xf numFmtId="1" fontId="0" fillId="0" borderId="0" xfId="0" applyNumberFormat="1" applyFill="1" applyProtection="1">
      <protection locked="0" hidden="1"/>
    </xf>
    <xf numFmtId="0" fontId="1" fillId="0" borderId="2" xfId="0" applyFont="1" applyBorder="1" applyAlignment="1" applyProtection="1">
      <alignment horizontal="left"/>
      <protection hidden="1"/>
    </xf>
    <xf numFmtId="0" fontId="13" fillId="0" borderId="0" xfId="0" applyFont="1" applyFill="1" applyBorder="1" applyAlignment="1" applyProtection="1">
      <protection hidden="1"/>
    </xf>
    <xf numFmtId="0" fontId="1" fillId="0" borderId="0" xfId="0" applyFont="1" applyFill="1" applyBorder="1" applyAlignment="1" applyProtection="1">
      <protection hidden="1"/>
    </xf>
    <xf numFmtId="0" fontId="1" fillId="0" borderId="0" xfId="0" applyFont="1" applyFill="1" applyBorder="1" applyAlignment="1" applyProtection="1">
      <alignment horizontal="center"/>
      <protection hidden="1"/>
    </xf>
    <xf numFmtId="0" fontId="1" fillId="0" borderId="0" xfId="0" applyFont="1" applyFill="1" applyBorder="1" applyAlignment="1" applyProtection="1">
      <alignment horizontal="center" vertical="center"/>
      <protection hidden="1"/>
    </xf>
    <xf numFmtId="2" fontId="0" fillId="0" borderId="0" xfId="0" applyNumberFormat="1" applyFill="1" applyBorder="1" applyAlignment="1" applyProtection="1">
      <alignment horizontal="center"/>
      <protection hidden="1"/>
    </xf>
    <xf numFmtId="165" fontId="0" fillId="0" borderId="0" xfId="0" applyNumberFormat="1" applyFill="1" applyBorder="1" applyAlignment="1" applyProtection="1">
      <alignment horizontal="center"/>
      <protection hidden="1"/>
    </xf>
    <xf numFmtId="1" fontId="0" fillId="3" borderId="1" xfId="0" applyNumberFormat="1" applyFill="1" applyBorder="1" applyAlignment="1" applyProtection="1">
      <alignment horizontal="center"/>
      <protection hidden="1"/>
    </xf>
    <xf numFmtId="0" fontId="0" fillId="0" borderId="0" xfId="0" applyFill="1" applyBorder="1" applyAlignment="1" applyProtection="1">
      <protection hidden="1"/>
    </xf>
    <xf numFmtId="0" fontId="8" fillId="0" borderId="0" xfId="0" applyFont="1" applyBorder="1" applyAlignment="1" applyProtection="1">
      <alignment horizontal="left" vertical="top" wrapText="1"/>
      <protection hidden="1"/>
    </xf>
    <xf numFmtId="0" fontId="1" fillId="0" borderId="0" xfId="0" applyFont="1" applyBorder="1" applyAlignment="1" applyProtection="1">
      <alignment horizontal="center"/>
      <protection hidden="1"/>
    </xf>
    <xf numFmtId="0" fontId="2" fillId="0" borderId="0" xfId="0" applyFont="1"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13" fillId="0" borderId="0" xfId="0" applyFont="1" applyAlignment="1" applyProtection="1">
      <alignment horizontal="center" wrapText="1"/>
      <protection hidden="1"/>
    </xf>
    <xf numFmtId="0" fontId="12" fillId="0" borderId="0" xfId="0" applyFont="1" applyAlignment="1" applyProtection="1">
      <alignment horizontal="center"/>
      <protection hidden="1"/>
    </xf>
    <xf numFmtId="1" fontId="0" fillId="3" borderId="1" xfId="0" applyNumberFormat="1" applyFill="1" applyBorder="1" applyAlignment="1" applyProtection="1">
      <alignment horizontal="center"/>
      <protection hidden="1"/>
    </xf>
    <xf numFmtId="0" fontId="0" fillId="2" borderId="1" xfId="0" applyFill="1" applyBorder="1" applyAlignment="1" applyProtection="1">
      <alignment horizontal="center"/>
      <protection locked="0" hidden="1"/>
    </xf>
    <xf numFmtId="0" fontId="1" fillId="0" borderId="2" xfId="0" applyFont="1" applyBorder="1" applyAlignment="1" applyProtection="1">
      <alignment horizontal="left"/>
      <protection hidden="1"/>
    </xf>
    <xf numFmtId="0" fontId="1" fillId="0" borderId="4"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9" xfId="0" applyFont="1" applyBorder="1" applyAlignment="1" applyProtection="1">
      <alignment horizontal="center" vertical="center"/>
      <protection hidden="1"/>
    </xf>
  </cellXfs>
  <cellStyles count="2">
    <cellStyle name="Hyperlink" xfId="1" builtinId="8"/>
    <cellStyle name="Normal" xfId="0" builtinId="0"/>
  </cellStyles>
  <dxfs count="36">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indexed="42"/>
        </patternFill>
      </fill>
    </dxf>
    <dxf>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patternType="solid">
          <bgColor indexed="42"/>
        </patternFill>
      </fill>
    </dxf>
    <dxf>
      <font>
        <condense val="0"/>
        <extend val="0"/>
        <color auto="1"/>
      </font>
      <fill>
        <patternFill patternType="solid">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rgb="FFCCFFCC"/>
        </patternFill>
      </fill>
    </dxf>
    <dxf>
      <font>
        <condense val="0"/>
        <extend val="0"/>
        <color auto="1"/>
      </font>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
      <font>
        <b/>
        <i val="0"/>
        <condense val="0"/>
        <extend val="0"/>
        <color indexed="10"/>
      </font>
      <fill>
        <patternFill>
          <bgColor indexed="42"/>
        </patternFill>
      </fill>
    </dxf>
    <dxf>
      <font>
        <condense val="0"/>
        <extend val="0"/>
        <color auto="1"/>
      </font>
      <fill>
        <patternFill>
          <bgColor indexed="42"/>
        </patternFill>
      </fill>
    </dxf>
  </dxfs>
  <tableStyles count="0" defaultTableStyle="TableStyleMedium9" defaultPivotStyle="PivotStyleLight16"/>
  <colors>
    <mruColors>
      <color rgb="FFCCFF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Magnitude</a:t>
            </a:r>
          </a:p>
        </c:rich>
      </c:tx>
      <c:layout/>
    </c:title>
    <c:plotArea>
      <c:layout/>
      <c:scatterChart>
        <c:scatterStyle val="lineMarker"/>
        <c:ser>
          <c:idx val="0"/>
          <c:order val="0"/>
          <c:tx>
            <c:v>Plant Gain</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Data'!$C$2:$C$56</c:f>
              <c:numCache>
                <c:formatCode>0.0</c:formatCode>
                <c:ptCount val="55"/>
                <c:pt idx="0">
                  <c:v>51.822069540109595</c:v>
                </c:pt>
                <c:pt idx="1">
                  <c:v>51.799366696268734</c:v>
                </c:pt>
                <c:pt idx="2">
                  <c:v>51.761790380863687</c:v>
                </c:pt>
                <c:pt idx="3">
                  <c:v>51.709723826603437</c:v>
                </c:pt>
                <c:pt idx="4">
                  <c:v>51.643685436929722</c:v>
                </c:pt>
                <c:pt idx="5">
                  <c:v>51.564312179206894</c:v>
                </c:pt>
                <c:pt idx="6">
                  <c:v>51.472340199030171</c:v>
                </c:pt>
                <c:pt idx="7">
                  <c:v>51.368583819308462</c:v>
                </c:pt>
                <c:pt idx="8">
                  <c:v>51.253914066795552</c:v>
                </c:pt>
                <c:pt idx="9">
                  <c:v>51.129237754006589</c:v>
                </c:pt>
                <c:pt idx="10">
                  <c:v>49.525044072788617</c:v>
                </c:pt>
                <c:pt idx="11">
                  <c:v>47.721698020659517</c:v>
                </c:pt>
                <c:pt idx="12">
                  <c:v>46.03159538787466</c:v>
                </c:pt>
                <c:pt idx="13">
                  <c:v>44.525623148576578</c:v>
                </c:pt>
                <c:pt idx="14">
                  <c:v>43.196164834710174</c:v>
                </c:pt>
                <c:pt idx="15">
                  <c:v>42.017996668271948</c:v>
                </c:pt>
                <c:pt idx="16">
                  <c:v>40.96578066035277</c:v>
                </c:pt>
                <c:pt idx="17">
                  <c:v>40.018088689104985</c:v>
                </c:pt>
                <c:pt idx="18">
                  <c:v>39.15765667800418</c:v>
                </c:pt>
                <c:pt idx="19">
                  <c:v>33.316809931257367</c:v>
                </c:pt>
                <c:pt idx="20">
                  <c:v>29.829151862231971</c:v>
                </c:pt>
                <c:pt idx="21">
                  <c:v>27.342455463625029</c:v>
                </c:pt>
                <c:pt idx="22">
                  <c:v>25.409918717012378</c:v>
                </c:pt>
                <c:pt idx="23">
                  <c:v>23.82943874548026</c:v>
                </c:pt>
                <c:pt idx="24">
                  <c:v>22.492468500231723</c:v>
                </c:pt>
                <c:pt idx="25">
                  <c:v>21.333975997044409</c:v>
                </c:pt>
                <c:pt idx="26">
                  <c:v>20.311920798066701</c:v>
                </c:pt>
                <c:pt idx="27">
                  <c:v>19.397556250542682</c:v>
                </c:pt>
                <c:pt idx="28">
                  <c:v>13.38202955328488</c:v>
                </c:pt>
                <c:pt idx="29">
                  <c:v>9.8658983043807886</c:v>
                </c:pt>
                <c:pt idx="30">
                  <c:v>7.3747221834023504</c:v>
                </c:pt>
                <c:pt idx="31">
                  <c:v>5.4461734308723173</c:v>
                </c:pt>
                <c:pt idx="32">
                  <c:v>3.874278167274138</c:v>
                </c:pt>
                <c:pt idx="33">
                  <c:v>2.5491466307528516</c:v>
                </c:pt>
                <c:pt idx="34">
                  <c:v>1.4051722590307798</c:v>
                </c:pt>
                <c:pt idx="35">
                  <c:v>0.40002666282248989</c:v>
                </c:pt>
                <c:pt idx="36">
                  <c:v>-0.49520200571611045</c:v>
                </c:pt>
                <c:pt idx="37">
                  <c:v>-6.2128649124647861</c:v>
                </c:pt>
                <c:pt idx="38">
                  <c:v>-9.2725152886261739</c:v>
                </c:pt>
                <c:pt idx="39">
                  <c:v>-11.197165664611786</c:v>
                </c:pt>
                <c:pt idx="40">
                  <c:v>-12.493737433993219</c:v>
                </c:pt>
                <c:pt idx="41">
                  <c:v>-13.40343205593725</c:v>
                </c:pt>
                <c:pt idx="42">
                  <c:v>-14.060986375085873</c:v>
                </c:pt>
                <c:pt idx="43">
                  <c:v>-14.548090910618463</c:v>
                </c:pt>
                <c:pt idx="44">
                  <c:v>-14.916706931070543</c:v>
                </c:pt>
                <c:pt idx="45">
                  <c:v>-15.200993824870398</c:v>
                </c:pt>
                <c:pt idx="46">
                  <c:v>-16.259496996237992</c:v>
                </c:pt>
                <c:pt idx="47">
                  <c:v>-16.487342505987876</c:v>
                </c:pt>
                <c:pt idx="48">
                  <c:v>-16.56999897958293</c:v>
                </c:pt>
                <c:pt idx="49">
                  <c:v>-16.608796292245632</c:v>
                </c:pt>
                <c:pt idx="50">
                  <c:v>-16.630017556047932</c:v>
                </c:pt>
                <c:pt idx="51">
                  <c:v>-16.64286360224953</c:v>
                </c:pt>
                <c:pt idx="52">
                  <c:v>-16.651221560645912</c:v>
                </c:pt>
                <c:pt idx="53">
                  <c:v>-16.656961057694197</c:v>
                </c:pt>
                <c:pt idx="54">
                  <c:v>-16.661071144413025</c:v>
                </c:pt>
              </c:numCache>
            </c:numRef>
          </c:yVal>
        </c:ser>
        <c:ser>
          <c:idx val="1"/>
          <c:order val="1"/>
          <c:tx>
            <c:v>Compensator Gain</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Data'!$D$2:$D$56</c:f>
              <c:numCache>
                <c:formatCode>0.0</c:formatCode>
                <c:ptCount val="55"/>
                <c:pt idx="0">
                  <c:v>-11.822181346844307</c:v>
                </c:pt>
                <c:pt idx="1">
                  <c:v>-17.820413819217599</c:v>
                </c:pt>
                <c:pt idx="2">
                  <c:v>-21.305221632260146</c:v>
                </c:pt>
                <c:pt idx="3">
                  <c:v>-23.752712215595288</c:v>
                </c:pt>
                <c:pt idx="4">
                  <c:v>-25.625879828843914</c:v>
                </c:pt>
                <c:pt idx="5">
                  <c:v>-27.131360417005578</c:v>
                </c:pt>
                <c:pt idx="6">
                  <c:v>-28.379776147065382</c:v>
                </c:pt>
                <c:pt idx="7">
                  <c:v>-29.437533393514983</c:v>
                </c:pt>
                <c:pt idx="8">
                  <c:v>-30.347811287755917</c:v>
                </c:pt>
                <c:pt idx="9">
                  <c:v>-31.140404203397051</c:v>
                </c:pt>
                <c:pt idx="10">
                  <c:v>-35.59013854192338</c:v>
                </c:pt>
                <c:pt idx="11">
                  <c:v>-37.363602366972664</c:v>
                </c:pt>
                <c:pt idx="12">
                  <c:v>-38.248101926981668</c:v>
                </c:pt>
                <c:pt idx="13">
                  <c:v>-38.775916513790982</c:v>
                </c:pt>
                <c:pt idx="14">
                  <c:v>-39.144124305950577</c:v>
                </c:pt>
                <c:pt idx="15">
                  <c:v>-39.435917128527286</c:v>
                </c:pt>
                <c:pt idx="16">
                  <c:v>-39.689968569300305</c:v>
                </c:pt>
                <c:pt idx="17">
                  <c:v>-39.925521604499664</c:v>
                </c:pt>
                <c:pt idx="18">
                  <c:v>-40.152554257651865</c:v>
                </c:pt>
                <c:pt idx="19">
                  <c:v>-42.411902048535396</c:v>
                </c:pt>
                <c:pt idx="20">
                  <c:v>-44.579004254699896</c:v>
                </c:pt>
                <c:pt idx="21">
                  <c:v>-46.47550891281972</c:v>
                </c:pt>
                <c:pt idx="22">
                  <c:v>-48.102595147037988</c:v>
                </c:pt>
                <c:pt idx="23">
                  <c:v>-49.507025792336563</c:v>
                </c:pt>
                <c:pt idx="24">
                  <c:v>-50.734101385910137</c:v>
                </c:pt>
                <c:pt idx="25">
                  <c:v>-51.819713947824809</c:v>
                </c:pt>
                <c:pt idx="26">
                  <c:v>-52.791108044360527</c:v>
                </c:pt>
                <c:pt idx="27">
                  <c:v>-53.668915731447626</c:v>
                </c:pt>
                <c:pt idx="28">
                  <c:v>-59.567848443249432</c:v>
                </c:pt>
                <c:pt idx="29">
                  <c:v>-63.066752105045751</c:v>
                </c:pt>
                <c:pt idx="30">
                  <c:v>-65.557474775586286</c:v>
                </c:pt>
                <c:pt idx="31">
                  <c:v>-67.491942869628886</c:v>
                </c:pt>
                <c:pt idx="32">
                  <c:v>-69.073539055710611</c:v>
                </c:pt>
                <c:pt idx="33">
                  <c:v>-70.41125111333389</c:v>
                </c:pt>
                <c:pt idx="34">
                  <c:v>-71.57029561172854</c:v>
                </c:pt>
                <c:pt idx="35">
                  <c:v>-72.592801307939638</c:v>
                </c:pt>
                <c:pt idx="36">
                  <c:v>-73.507561417549624</c:v>
                </c:pt>
                <c:pt idx="37">
                  <c:v>-79.526915069514985</c:v>
                </c:pt>
                <c:pt idx="38">
                  <c:v>-83.04850942107268</c:v>
                </c:pt>
                <c:pt idx="39">
                  <c:v>-85.547203359908906</c:v>
                </c:pt>
                <c:pt idx="40">
                  <c:v>-87.485366223776282</c:v>
                </c:pt>
                <c:pt idx="41">
                  <c:v>-89.068970830553624</c:v>
                </c:pt>
                <c:pt idx="42">
                  <c:v>-90.407894374311709</c:v>
                </c:pt>
                <c:pt idx="43">
                  <c:v>-91.567725363868888</c:v>
                </c:pt>
                <c:pt idx="44">
                  <c:v>-92.59077036231642</c:v>
                </c:pt>
                <c:pt idx="45">
                  <c:v>-93.50591627481495</c:v>
                </c:pt>
                <c:pt idx="46">
                  <c:v>-99.526503722442229</c:v>
                </c:pt>
                <c:pt idx="47">
                  <c:v>-103.04832659509771</c:v>
                </c:pt>
                <c:pt idx="48">
                  <c:v>-105.54710051930299</c:v>
                </c:pt>
                <c:pt idx="49">
                  <c:v>-107.48530040549375</c:v>
                </c:pt>
                <c:pt idx="50">
                  <c:v>-109.0689251233018</c:v>
                </c:pt>
                <c:pt idx="51">
                  <c:v>-110.40786079342433</c:v>
                </c:pt>
                <c:pt idx="52">
                  <c:v>-111.56769965347755</c:v>
                </c:pt>
                <c:pt idx="53">
                  <c:v>-112.59075004791993</c:v>
                </c:pt>
                <c:pt idx="54">
                  <c:v>-113.50589982014608</c:v>
                </c:pt>
              </c:numCache>
            </c:numRef>
          </c:yVal>
        </c:ser>
        <c:ser>
          <c:idx val="2"/>
          <c:order val="2"/>
          <c:tx>
            <c:v>Loop Gain</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Data'!$E$2:$E$56</c:f>
              <c:numCache>
                <c:formatCode>0.0</c:formatCode>
                <c:ptCount val="55"/>
                <c:pt idx="0">
                  <c:v>39.999888193265292</c:v>
                </c:pt>
                <c:pt idx="1">
                  <c:v>33.978952877051135</c:v>
                </c:pt>
                <c:pt idx="2">
                  <c:v>30.456568748603541</c:v>
                </c:pt>
                <c:pt idx="3">
                  <c:v>27.957011611008149</c:v>
                </c:pt>
                <c:pt idx="4">
                  <c:v>26.017805608085808</c:v>
                </c:pt>
                <c:pt idx="5">
                  <c:v>24.432951762201316</c:v>
                </c:pt>
                <c:pt idx="6">
                  <c:v>23.092564051964789</c:v>
                </c:pt>
                <c:pt idx="7">
                  <c:v>21.93105042579348</c:v>
                </c:pt>
                <c:pt idx="8">
                  <c:v>20.906102779039635</c:v>
                </c:pt>
                <c:pt idx="9">
                  <c:v>19.988833550609538</c:v>
                </c:pt>
                <c:pt idx="10">
                  <c:v>13.934905530865237</c:v>
                </c:pt>
                <c:pt idx="11">
                  <c:v>10.358095653686853</c:v>
                </c:pt>
                <c:pt idx="12">
                  <c:v>7.7834934608929913</c:v>
                </c:pt>
                <c:pt idx="13">
                  <c:v>5.7497066347855963</c:v>
                </c:pt>
                <c:pt idx="14">
                  <c:v>4.0520405287595977</c:v>
                </c:pt>
                <c:pt idx="15">
                  <c:v>2.5820795397446616</c:v>
                </c:pt>
                <c:pt idx="16">
                  <c:v>1.2758120910524653</c:v>
                </c:pt>
                <c:pt idx="17">
                  <c:v>9.2567084605320815E-2</c:v>
                </c:pt>
                <c:pt idx="18">
                  <c:v>-0.99489757964768444</c:v>
                </c:pt>
                <c:pt idx="19">
                  <c:v>-9.0950921172780284</c:v>
                </c:pt>
                <c:pt idx="20">
                  <c:v>-14.749852392467925</c:v>
                </c:pt>
                <c:pt idx="21">
                  <c:v>-19.133053449194691</c:v>
                </c:pt>
                <c:pt idx="22">
                  <c:v>-22.69267643002561</c:v>
                </c:pt>
                <c:pt idx="23">
                  <c:v>-25.677587046856303</c:v>
                </c:pt>
                <c:pt idx="24">
                  <c:v>-28.241632885678413</c:v>
                </c:pt>
                <c:pt idx="25">
                  <c:v>-30.4857379507804</c:v>
                </c:pt>
                <c:pt idx="26">
                  <c:v>-32.479187246293826</c:v>
                </c:pt>
                <c:pt idx="27">
                  <c:v>-34.271359480904948</c:v>
                </c:pt>
                <c:pt idx="28">
                  <c:v>-46.185818889964551</c:v>
                </c:pt>
                <c:pt idx="29">
                  <c:v>-53.200853800664959</c:v>
                </c:pt>
                <c:pt idx="30">
                  <c:v>-58.182752592183938</c:v>
                </c:pt>
                <c:pt idx="31">
                  <c:v>-62.045769438756565</c:v>
                </c:pt>
                <c:pt idx="32">
                  <c:v>-65.19926088843647</c:v>
                </c:pt>
                <c:pt idx="33">
                  <c:v>-67.862104482581032</c:v>
                </c:pt>
                <c:pt idx="34">
                  <c:v>-70.165123352697762</c:v>
                </c:pt>
                <c:pt idx="35">
                  <c:v>-72.192774645117154</c:v>
                </c:pt>
                <c:pt idx="36">
                  <c:v>-74.002763423265733</c:v>
                </c:pt>
                <c:pt idx="37">
                  <c:v>-85.739779981979765</c:v>
                </c:pt>
                <c:pt idx="38">
                  <c:v>-92.321024709698861</c:v>
                </c:pt>
                <c:pt idx="39">
                  <c:v>-96.744369024520694</c:v>
                </c:pt>
                <c:pt idx="40">
                  <c:v>-99.9791036577695</c:v>
                </c:pt>
                <c:pt idx="41">
                  <c:v>-102.47240288649087</c:v>
                </c:pt>
                <c:pt idx="42">
                  <c:v>-104.46888074939758</c:v>
                </c:pt>
                <c:pt idx="43">
                  <c:v>-106.11581627448734</c:v>
                </c:pt>
                <c:pt idx="44">
                  <c:v>-107.50747729338696</c:v>
                </c:pt>
                <c:pt idx="45">
                  <c:v>-108.70691009968535</c:v>
                </c:pt>
                <c:pt idx="46">
                  <c:v>-115.78600071868021</c:v>
                </c:pt>
                <c:pt idx="47">
                  <c:v>-119.53566910108557</c:v>
                </c:pt>
                <c:pt idx="48">
                  <c:v>-122.11709949888592</c:v>
                </c:pt>
                <c:pt idx="49">
                  <c:v>-124.09409669773937</c:v>
                </c:pt>
                <c:pt idx="50">
                  <c:v>-125.69894267934973</c:v>
                </c:pt>
                <c:pt idx="51">
                  <c:v>-127.05072439567387</c:v>
                </c:pt>
                <c:pt idx="52">
                  <c:v>-128.21892121412347</c:v>
                </c:pt>
                <c:pt idx="53">
                  <c:v>-129.24771110561412</c:v>
                </c:pt>
                <c:pt idx="54">
                  <c:v>-130.16697096455911</c:v>
                </c:pt>
              </c:numCache>
            </c:numRef>
          </c:yVal>
        </c:ser>
        <c:axId val="160572928"/>
        <c:axId val="160595968"/>
      </c:scatterChart>
      <c:valAx>
        <c:axId val="160572928"/>
        <c:scaling>
          <c:logBase val="10"/>
          <c:orientation val="minMax"/>
          <c:min val="0.1"/>
        </c:scaling>
        <c:axPos val="b"/>
        <c:minorGridlines/>
        <c:title>
          <c:tx>
            <c:rich>
              <a:bodyPr/>
              <a:lstStyle/>
              <a:p>
                <a:pPr>
                  <a:defRPr/>
                </a:pPr>
                <a:r>
                  <a:rPr lang="en-US"/>
                  <a:t>Frequency</a:t>
                </a:r>
                <a:r>
                  <a:rPr lang="en-US" baseline="0"/>
                  <a:t> (Hz)</a:t>
                </a:r>
                <a:endParaRPr lang="en-US"/>
              </a:p>
            </c:rich>
          </c:tx>
          <c:layout/>
        </c:title>
        <c:numFmt formatCode="General" sourceLinked="1"/>
        <c:tickLblPos val="nextTo"/>
        <c:crossAx val="160595968"/>
        <c:crossesAt val="-150"/>
        <c:crossBetween val="midCat"/>
      </c:valAx>
      <c:valAx>
        <c:axId val="160595968"/>
        <c:scaling>
          <c:orientation val="minMax"/>
        </c:scaling>
        <c:axPos val="l"/>
        <c:majorGridlines/>
        <c:title>
          <c:tx>
            <c:rich>
              <a:bodyPr rot="-5400000" vert="horz"/>
              <a:lstStyle/>
              <a:p>
                <a:pPr>
                  <a:defRPr/>
                </a:pPr>
                <a:r>
                  <a:rPr lang="en-US"/>
                  <a:t>Magnitude (dB)</a:t>
                </a:r>
              </a:p>
            </c:rich>
          </c:tx>
          <c:layout/>
        </c:title>
        <c:numFmt formatCode="0.0" sourceLinked="1"/>
        <c:tickLblPos val="nextTo"/>
        <c:crossAx val="160572928"/>
        <c:crossesAt val="0.1"/>
        <c:crossBetween val="midCat"/>
      </c:valAx>
    </c:plotArea>
    <c:legend>
      <c:legendPos val="b"/>
      <c:layout/>
    </c:legend>
    <c:plotVisOnly val="1"/>
  </c:chart>
  <c:printSettings>
    <c:headerFooter/>
    <c:pageMargins b="0.75000000000000533" l="0.70000000000000062" r="0.70000000000000062" t="0.7500000000000053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Phase</a:t>
            </a:r>
          </a:p>
        </c:rich>
      </c:tx>
      <c:layout/>
    </c:title>
    <c:plotArea>
      <c:layout/>
      <c:scatterChart>
        <c:scatterStyle val="lineMarker"/>
        <c:ser>
          <c:idx val="0"/>
          <c:order val="0"/>
          <c:tx>
            <c:v>Plant Phase</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Data'!$F$2:$F$56</c:f>
              <c:numCache>
                <c:formatCode>0.0</c:formatCode>
                <c:ptCount val="55"/>
                <c:pt idx="0">
                  <c:v>-2.3946451894496068</c:v>
                </c:pt>
                <c:pt idx="1">
                  <c:v>-4.780944288611459</c:v>
                </c:pt>
                <c:pt idx="2">
                  <c:v>-7.1507243679364034</c:v>
                </c:pt>
                <c:pt idx="3">
                  <c:v>-9.4961499349015082</c:v>
                </c:pt>
                <c:pt idx="4">
                  <c:v>-11.809870280352186</c:v>
                </c:pt>
                <c:pt idx="5">
                  <c:v>-14.085143402175296</c:v>
                </c:pt>
                <c:pt idx="6">
                  <c:v>-16.315932056704217</c:v>
                </c:pt>
                <c:pt idx="7">
                  <c:v>-18.496969745876928</c:v>
                </c:pt>
                <c:pt idx="8">
                  <c:v>-20.623796644387987</c:v>
                </c:pt>
                <c:pt idx="9">
                  <c:v>-22.692767375714183</c:v>
                </c:pt>
                <c:pt idx="10">
                  <c:v>-39.900906509231191</c:v>
                </c:pt>
                <c:pt idx="11">
                  <c:v>-51.425515421603755</c:v>
                </c:pt>
                <c:pt idx="12">
                  <c:v>-59.101779121644675</c:v>
                </c:pt>
                <c:pt idx="13">
                  <c:v>-64.403750731017965</c:v>
                </c:pt>
                <c:pt idx="14">
                  <c:v>-68.223911366074915</c:v>
                </c:pt>
                <c:pt idx="15">
                  <c:v>-71.082918131093905</c:v>
                </c:pt>
                <c:pt idx="16">
                  <c:v>-73.29205287602926</c:v>
                </c:pt>
                <c:pt idx="17">
                  <c:v>-75.044835434792986</c:v>
                </c:pt>
                <c:pt idx="18">
                  <c:v>-76.466449875682073</c:v>
                </c:pt>
                <c:pt idx="19">
                  <c:v>-83.004425484671174</c:v>
                </c:pt>
                <c:pt idx="20">
                  <c:v>-85.174356503313177</c:v>
                </c:pt>
                <c:pt idx="21">
                  <c:v>-86.220119287072592</c:v>
                </c:pt>
                <c:pt idx="22">
                  <c:v>-86.812931163260643</c:v>
                </c:pt>
                <c:pt idx="23">
                  <c:v>-87.178587444154616</c:v>
                </c:pt>
                <c:pt idx="24">
                  <c:v>-87.414241033247606</c:v>
                </c:pt>
                <c:pt idx="25">
                  <c:v>-87.568570814870824</c:v>
                </c:pt>
                <c:pt idx="26">
                  <c:v>-87.668654927886578</c:v>
                </c:pt>
                <c:pt idx="27">
                  <c:v>-87.730753745125</c:v>
                </c:pt>
                <c:pt idx="28">
                  <c:v>-87.515833914700167</c:v>
                </c:pt>
                <c:pt idx="29">
                  <c:v>-86.845478587038428</c:v>
                </c:pt>
                <c:pt idx="30">
                  <c:v>-86.062335038364537</c:v>
                </c:pt>
                <c:pt idx="31">
                  <c:v>-85.235304539696529</c:v>
                </c:pt>
                <c:pt idx="32">
                  <c:v>-84.387641785239396</c:v>
                </c:pt>
                <c:pt idx="33">
                  <c:v>-83.529553280813744</c:v>
                </c:pt>
                <c:pt idx="34">
                  <c:v>-82.666347073992952</c:v>
                </c:pt>
                <c:pt idx="35">
                  <c:v>-81.801148756427622</c:v>
                </c:pt>
                <c:pt idx="36">
                  <c:v>-80.935987288886253</c:v>
                </c:pt>
                <c:pt idx="37">
                  <c:v>-72.490926490591505</c:v>
                </c:pt>
                <c:pt idx="38">
                  <c:v>-64.722710107791258</c:v>
                </c:pt>
                <c:pt idx="39">
                  <c:v>-57.82385284298212</c:v>
                </c:pt>
                <c:pt idx="40">
                  <c:v>-51.826582394263205</c:v>
                </c:pt>
                <c:pt idx="41">
                  <c:v>-46.673366343535982</c:v>
                </c:pt>
                <c:pt idx="42">
                  <c:v>-42.265600057293391</c:v>
                </c:pt>
                <c:pt idx="43">
                  <c:v>-38.494767491600129</c:v>
                </c:pt>
                <c:pt idx="44">
                  <c:v>-35.258663823942328</c:v>
                </c:pt>
                <c:pt idx="45">
                  <c:v>-32.467940780489961</c:v>
                </c:pt>
                <c:pt idx="46">
                  <c:v>-17.64993924629524</c:v>
                </c:pt>
                <c:pt idx="47">
                  <c:v>-11.97624829759566</c:v>
                </c:pt>
                <c:pt idx="48">
                  <c:v>-9.03963712646663</c:v>
                </c:pt>
                <c:pt idx="49">
                  <c:v>-7.253343748582914</c:v>
                </c:pt>
                <c:pt idx="50">
                  <c:v>-6.0543279591813111</c:v>
                </c:pt>
                <c:pt idx="51">
                  <c:v>-5.1945516738210129</c:v>
                </c:pt>
                <c:pt idx="52">
                  <c:v>-4.5481533328340129</c:v>
                </c:pt>
                <c:pt idx="53">
                  <c:v>-4.0445863150013945</c:v>
                </c:pt>
                <c:pt idx="54">
                  <c:v>-3.6412773066927651</c:v>
                </c:pt>
              </c:numCache>
            </c:numRef>
          </c:yVal>
        </c:ser>
        <c:ser>
          <c:idx val="1"/>
          <c:order val="1"/>
          <c:tx>
            <c:v>Compensator Phase</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Data'!$G$2:$G$56</c:f>
              <c:numCache>
                <c:formatCode>General</c:formatCode>
                <c:ptCount val="55"/>
                <c:pt idx="0">
                  <c:v>92.104831415960888</c:v>
                </c:pt>
                <c:pt idx="1">
                  <c:v>94.201331709475767</c:v>
                </c:pt>
                <c:pt idx="2">
                  <c:v>96.281342914213852</c:v>
                </c:pt>
                <c:pt idx="3">
                  <c:v>98.337044491627537</c:v>
                </c:pt>
                <c:pt idx="4">
                  <c:v>100.36110067268176</c:v>
                </c:pt>
                <c:pt idx="5">
                  <c:v>102.34678437692517</c:v>
                </c:pt>
                <c:pt idx="6">
                  <c:v>104.28807325930774</c:v>
                </c:pt>
                <c:pt idx="7">
                  <c:v>106.17971569276848</c:v>
                </c:pt>
                <c:pt idx="8">
                  <c:v>108.01726669083882</c:v>
                </c:pt>
                <c:pt idx="9">
                  <c:v>109.79709567914458</c:v>
                </c:pt>
                <c:pt idx="10">
                  <c:v>124.12441738643464</c:v>
                </c:pt>
                <c:pt idx="11">
                  <c:v>132.79746662098111</c:v>
                </c:pt>
                <c:pt idx="12">
                  <c:v>137.66496394789476</c:v>
                </c:pt>
                <c:pt idx="13">
                  <c:v>140.21327572235404</c:v>
                </c:pt>
                <c:pt idx="14">
                  <c:v>141.34570315443202</c:v>
                </c:pt>
                <c:pt idx="15">
                  <c:v>141.59205377007018</c:v>
                </c:pt>
                <c:pt idx="16">
                  <c:v>141.27100839635884</c:v>
                </c:pt>
                <c:pt idx="17">
                  <c:v>140.58173917019732</c:v>
                </c:pt>
                <c:pt idx="18">
                  <c:v>139.65341274351331</c:v>
                </c:pt>
                <c:pt idx="19">
                  <c:v>127.7638061637421</c:v>
                </c:pt>
                <c:pt idx="20">
                  <c:v>118.7472507335583</c:v>
                </c:pt>
                <c:pt idx="21">
                  <c:v>112.81014423253298</c:v>
                </c:pt>
                <c:pt idx="22">
                  <c:v>108.77578072758777</c:v>
                </c:pt>
                <c:pt idx="23">
                  <c:v>105.90261967335259</c:v>
                </c:pt>
                <c:pt idx="24">
                  <c:v>103.76877152486243</c:v>
                </c:pt>
                <c:pt idx="25">
                  <c:v>102.12810931971582</c:v>
                </c:pt>
                <c:pt idx="26">
                  <c:v>100.83043856103355</c:v>
                </c:pt>
                <c:pt idx="27">
                  <c:v>99.779922223126931</c:v>
                </c:pt>
                <c:pt idx="28">
                  <c:v>94.943138034644107</c:v>
                </c:pt>
                <c:pt idx="29">
                  <c:v>93.302125497324866</c:v>
                </c:pt>
                <c:pt idx="30">
                  <c:v>92.478360583542255</c:v>
                </c:pt>
                <c:pt idx="31">
                  <c:v>91.983343645835959</c:v>
                </c:pt>
                <c:pt idx="32">
                  <c:v>91.653083194746984</c:v>
                </c:pt>
                <c:pt idx="33">
                  <c:v>91.417081929923768</c:v>
                </c:pt>
                <c:pt idx="34">
                  <c:v>91.240033874474591</c:v>
                </c:pt>
                <c:pt idx="35">
                  <c:v>91.102305475566055</c:v>
                </c:pt>
                <c:pt idx="36">
                  <c:v>90.992109143894908</c:v>
                </c:pt>
                <c:pt idx="37">
                  <c:v>90.496109284914724</c:v>
                </c:pt>
                <c:pt idx="38">
                  <c:v>90.330746279365442</c:v>
                </c:pt>
                <c:pt idx="39">
                  <c:v>90.248061483075062</c:v>
                </c:pt>
                <c:pt idx="40">
                  <c:v>90.19844984319154</c:v>
                </c:pt>
                <c:pt idx="41">
                  <c:v>90.165375166614567</c:v>
                </c:pt>
                <c:pt idx="42">
                  <c:v>90.141750296460714</c:v>
                </c:pt>
                <c:pt idx="43">
                  <c:v>90.124031596661524</c:v>
                </c:pt>
                <c:pt idx="44">
                  <c:v>90.110250361320638</c:v>
                </c:pt>
                <c:pt idx="45">
                  <c:v>90.099225359422135</c:v>
                </c:pt>
                <c:pt idx="46">
                  <c:v>90.049612734439833</c:v>
                </c:pt>
                <c:pt idx="47">
                  <c:v>90.033075163049887</c:v>
                </c:pt>
                <c:pt idx="48">
                  <c:v>90.024806374061029</c:v>
                </c:pt>
                <c:pt idx="49">
                  <c:v>90.019845099905567</c:v>
                </c:pt>
                <c:pt idx="50">
                  <c:v>90.016537583551937</c:v>
                </c:pt>
                <c:pt idx="51">
                  <c:v>90.014175071769586</c:v>
                </c:pt>
                <c:pt idx="52">
                  <c:v>90.012403187885653</c:v>
                </c:pt>
                <c:pt idx="53">
                  <c:v>90.011025055951535</c:v>
                </c:pt>
                <c:pt idx="54">
                  <c:v>90.009922550390627</c:v>
                </c:pt>
              </c:numCache>
            </c:numRef>
          </c:yVal>
        </c:ser>
        <c:ser>
          <c:idx val="2"/>
          <c:order val="2"/>
          <c:tx>
            <c:v>Loop Phase</c:v>
          </c:tx>
          <c:marker>
            <c:symbol val="none"/>
          </c:marker>
          <c:xVal>
            <c:numRef>
              <c:f>'Type 2 PFC Data'!$A$2:$A$56</c:f>
              <c:numCache>
                <c:formatCode>General</c:formatCode>
                <c:ptCount val="55"/>
                <c:pt idx="0">
                  <c:v>0.1</c:v>
                </c:pt>
                <c:pt idx="1">
                  <c:v>0.2</c:v>
                </c:pt>
                <c:pt idx="2">
                  <c:v>0.3</c:v>
                </c:pt>
                <c:pt idx="3">
                  <c:v>0.4</c:v>
                </c:pt>
                <c:pt idx="4">
                  <c:v>0.5</c:v>
                </c:pt>
                <c:pt idx="5">
                  <c:v>0.6</c:v>
                </c:pt>
                <c:pt idx="6">
                  <c:v>0.7</c:v>
                </c:pt>
                <c:pt idx="7">
                  <c:v>0.8</c:v>
                </c:pt>
                <c:pt idx="8">
                  <c:v>0.9</c:v>
                </c:pt>
                <c:pt idx="9">
                  <c:v>1</c:v>
                </c:pt>
                <c:pt idx="10">
                  <c:v>2</c:v>
                </c:pt>
                <c:pt idx="11">
                  <c:v>3</c:v>
                </c:pt>
                <c:pt idx="12">
                  <c:v>4</c:v>
                </c:pt>
                <c:pt idx="13">
                  <c:v>5</c:v>
                </c:pt>
                <c:pt idx="14">
                  <c:v>6</c:v>
                </c:pt>
                <c:pt idx="15">
                  <c:v>7</c:v>
                </c:pt>
                <c:pt idx="16">
                  <c:v>8</c:v>
                </c:pt>
                <c:pt idx="17">
                  <c:v>9</c:v>
                </c:pt>
                <c:pt idx="18">
                  <c:v>10</c:v>
                </c:pt>
                <c:pt idx="19">
                  <c:v>20</c:v>
                </c:pt>
                <c:pt idx="20">
                  <c:v>30</c:v>
                </c:pt>
                <c:pt idx="21">
                  <c:v>40</c:v>
                </c:pt>
                <c:pt idx="22">
                  <c:v>50</c:v>
                </c:pt>
                <c:pt idx="23">
                  <c:v>60</c:v>
                </c:pt>
                <c:pt idx="24">
                  <c:v>70</c:v>
                </c:pt>
                <c:pt idx="25">
                  <c:v>80</c:v>
                </c:pt>
                <c:pt idx="26">
                  <c:v>90</c:v>
                </c:pt>
                <c:pt idx="27">
                  <c:v>100</c:v>
                </c:pt>
                <c:pt idx="28">
                  <c:v>200</c:v>
                </c:pt>
                <c:pt idx="29">
                  <c:v>300</c:v>
                </c:pt>
                <c:pt idx="30">
                  <c:v>400</c:v>
                </c:pt>
                <c:pt idx="31">
                  <c:v>500</c:v>
                </c:pt>
                <c:pt idx="32">
                  <c:v>600</c:v>
                </c:pt>
                <c:pt idx="33">
                  <c:v>700</c:v>
                </c:pt>
                <c:pt idx="34">
                  <c:v>800</c:v>
                </c:pt>
                <c:pt idx="35">
                  <c:v>900</c:v>
                </c:pt>
                <c:pt idx="36">
                  <c:v>1000</c:v>
                </c:pt>
                <c:pt idx="37">
                  <c:v>2000</c:v>
                </c:pt>
                <c:pt idx="38">
                  <c:v>3000</c:v>
                </c:pt>
                <c:pt idx="39">
                  <c:v>4000</c:v>
                </c:pt>
                <c:pt idx="40">
                  <c:v>5000</c:v>
                </c:pt>
                <c:pt idx="41">
                  <c:v>6000</c:v>
                </c:pt>
                <c:pt idx="42">
                  <c:v>7000</c:v>
                </c:pt>
                <c:pt idx="43">
                  <c:v>8000</c:v>
                </c:pt>
                <c:pt idx="44">
                  <c:v>9000</c:v>
                </c:pt>
                <c:pt idx="45">
                  <c:v>10000</c:v>
                </c:pt>
                <c:pt idx="46">
                  <c:v>20000</c:v>
                </c:pt>
                <c:pt idx="47">
                  <c:v>30000</c:v>
                </c:pt>
                <c:pt idx="48">
                  <c:v>40000</c:v>
                </c:pt>
                <c:pt idx="49">
                  <c:v>50000</c:v>
                </c:pt>
                <c:pt idx="50">
                  <c:v>60000</c:v>
                </c:pt>
                <c:pt idx="51">
                  <c:v>70000</c:v>
                </c:pt>
                <c:pt idx="52">
                  <c:v>80000</c:v>
                </c:pt>
                <c:pt idx="53">
                  <c:v>90000</c:v>
                </c:pt>
                <c:pt idx="54">
                  <c:v>100000</c:v>
                </c:pt>
              </c:numCache>
            </c:numRef>
          </c:xVal>
          <c:yVal>
            <c:numRef>
              <c:f>'Type 2 PFC Data'!$H$2:$H$56</c:f>
              <c:numCache>
                <c:formatCode>0.0</c:formatCode>
                <c:ptCount val="55"/>
                <c:pt idx="0">
                  <c:v>89.710186226511283</c:v>
                </c:pt>
                <c:pt idx="1">
                  <c:v>89.420387420864301</c:v>
                </c:pt>
                <c:pt idx="2">
                  <c:v>89.130618546277447</c:v>
                </c:pt>
                <c:pt idx="3">
                  <c:v>88.840894556726028</c:v>
                </c:pt>
                <c:pt idx="4">
                  <c:v>88.551230392329572</c:v>
                </c:pt>
                <c:pt idx="5">
                  <c:v>88.261640974749881</c:v>
                </c:pt>
                <c:pt idx="6">
                  <c:v>87.972141202603524</c:v>
                </c:pt>
                <c:pt idx="7">
                  <c:v>87.682745946891558</c:v>
                </c:pt>
                <c:pt idx="8">
                  <c:v>87.39347004645083</c:v>
                </c:pt>
                <c:pt idx="9">
                  <c:v>87.104328303430393</c:v>
                </c:pt>
                <c:pt idx="10">
                  <c:v>84.223510877203452</c:v>
                </c:pt>
                <c:pt idx="11">
                  <c:v>81.371951199377349</c:v>
                </c:pt>
                <c:pt idx="12">
                  <c:v>78.56318482625008</c:v>
                </c:pt>
                <c:pt idx="13">
                  <c:v>75.809524991336076</c:v>
                </c:pt>
                <c:pt idx="14">
                  <c:v>73.1217917883571</c:v>
                </c:pt>
                <c:pt idx="15">
                  <c:v>70.509135638976275</c:v>
                </c:pt>
                <c:pt idx="16">
                  <c:v>67.978955520329578</c:v>
                </c:pt>
                <c:pt idx="17">
                  <c:v>65.536903735404337</c:v>
                </c:pt>
                <c:pt idx="18">
                  <c:v>63.186962867831241</c:v>
                </c:pt>
                <c:pt idx="19">
                  <c:v>44.759380679070929</c:v>
                </c:pt>
                <c:pt idx="20">
                  <c:v>33.572894230245126</c:v>
                </c:pt>
                <c:pt idx="21">
                  <c:v>26.590024945460385</c:v>
                </c:pt>
                <c:pt idx="22">
                  <c:v>21.962849564327129</c:v>
                </c:pt>
                <c:pt idx="23">
                  <c:v>18.724032229197974</c:v>
                </c:pt>
                <c:pt idx="24">
                  <c:v>16.354530491614824</c:v>
                </c:pt>
                <c:pt idx="25">
                  <c:v>14.559538504844994</c:v>
                </c:pt>
                <c:pt idx="26">
                  <c:v>13.161783633146968</c:v>
                </c:pt>
                <c:pt idx="27">
                  <c:v>12.049168478001931</c:v>
                </c:pt>
                <c:pt idx="28">
                  <c:v>7.4273041199439405</c:v>
                </c:pt>
                <c:pt idx="29">
                  <c:v>6.4566469102864374</c:v>
                </c:pt>
                <c:pt idx="30">
                  <c:v>6.4160255451777175</c:v>
                </c:pt>
                <c:pt idx="31">
                  <c:v>6.74803910613943</c:v>
                </c:pt>
                <c:pt idx="32">
                  <c:v>7.2654414095075879</c:v>
                </c:pt>
                <c:pt idx="33">
                  <c:v>7.887528649110024</c:v>
                </c:pt>
                <c:pt idx="34">
                  <c:v>8.5736868004816387</c:v>
                </c:pt>
                <c:pt idx="35">
                  <c:v>9.301156719138433</c:v>
                </c:pt>
                <c:pt idx="36">
                  <c:v>10.056121855008655</c:v>
                </c:pt>
                <c:pt idx="37">
                  <c:v>18.005182794323218</c:v>
                </c:pt>
                <c:pt idx="38">
                  <c:v>25.608036171574184</c:v>
                </c:pt>
                <c:pt idx="39">
                  <c:v>32.424208640092942</c:v>
                </c:pt>
                <c:pt idx="40">
                  <c:v>38.371867448928334</c:v>
                </c:pt>
                <c:pt idx="41">
                  <c:v>43.492008823078585</c:v>
                </c:pt>
                <c:pt idx="42">
                  <c:v>47.876150239167323</c:v>
                </c:pt>
                <c:pt idx="43">
                  <c:v>51.629264105061395</c:v>
                </c:pt>
                <c:pt idx="44">
                  <c:v>54.85158653737831</c:v>
                </c:pt>
                <c:pt idx="45">
                  <c:v>57.631284578932174</c:v>
                </c:pt>
                <c:pt idx="46">
                  <c:v>72.3996734881446</c:v>
                </c:pt>
                <c:pt idx="47">
                  <c:v>78.056826865454227</c:v>
                </c:pt>
                <c:pt idx="48">
                  <c:v>80.985169247594399</c:v>
                </c:pt>
                <c:pt idx="49">
                  <c:v>82.76650135132266</c:v>
                </c:pt>
                <c:pt idx="50">
                  <c:v>83.96220962437063</c:v>
                </c:pt>
                <c:pt idx="51">
                  <c:v>84.819623397948575</c:v>
                </c:pt>
                <c:pt idx="52">
                  <c:v>85.464249855051634</c:v>
                </c:pt>
                <c:pt idx="53">
                  <c:v>85.966438740950139</c:v>
                </c:pt>
                <c:pt idx="54">
                  <c:v>86.368645243697856</c:v>
                </c:pt>
              </c:numCache>
            </c:numRef>
          </c:yVal>
        </c:ser>
        <c:axId val="160622080"/>
        <c:axId val="160624000"/>
      </c:scatterChart>
      <c:valAx>
        <c:axId val="160622080"/>
        <c:scaling>
          <c:logBase val="10"/>
          <c:orientation val="minMax"/>
        </c:scaling>
        <c:axPos val="b"/>
        <c:minorGridlines/>
        <c:title>
          <c:tx>
            <c:rich>
              <a:bodyPr/>
              <a:lstStyle/>
              <a:p>
                <a:pPr>
                  <a:defRPr/>
                </a:pPr>
                <a:r>
                  <a:rPr lang="en-US"/>
                  <a:t>Frequency (Hz)</a:t>
                </a:r>
              </a:p>
            </c:rich>
          </c:tx>
          <c:layout/>
        </c:title>
        <c:numFmt formatCode="General" sourceLinked="1"/>
        <c:tickLblPos val="nextTo"/>
        <c:crossAx val="160624000"/>
        <c:crossesAt val="-200"/>
        <c:crossBetween val="midCat"/>
      </c:valAx>
      <c:valAx>
        <c:axId val="160624000"/>
        <c:scaling>
          <c:orientation val="minMax"/>
        </c:scaling>
        <c:axPos val="l"/>
        <c:majorGridlines/>
        <c:title>
          <c:tx>
            <c:rich>
              <a:bodyPr rot="-5400000" vert="horz"/>
              <a:lstStyle/>
              <a:p>
                <a:pPr>
                  <a:defRPr/>
                </a:pPr>
                <a:r>
                  <a:rPr lang="en-US"/>
                  <a:t>Phase (</a:t>
                </a:r>
                <a:r>
                  <a:rPr lang="en-US">
                    <a:latin typeface="Calibri"/>
                  </a:rPr>
                  <a:t>°</a:t>
                </a:r>
                <a:r>
                  <a:rPr lang="en-US"/>
                  <a:t>)</a:t>
                </a:r>
              </a:p>
            </c:rich>
          </c:tx>
          <c:layout/>
        </c:title>
        <c:numFmt formatCode="0.0" sourceLinked="1"/>
        <c:tickLblPos val="nextTo"/>
        <c:crossAx val="160622080"/>
        <c:crossesAt val="0.1"/>
        <c:crossBetween val="midCat"/>
      </c:valAx>
    </c:plotArea>
    <c:legend>
      <c:legendPos val="b"/>
      <c:layout/>
    </c:legend>
    <c:plotVisOnly val="1"/>
  </c:chart>
  <c:printSettings>
    <c:headerFooter/>
    <c:pageMargins b="0.75000000000000533" l="0.70000000000000062" r="0.70000000000000062" t="0.75000000000000533"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absoluteAnchor>
    <xdr:pos x="285749" y="2343151"/>
    <xdr:ext cx="3462857" cy="2514600"/>
    <xdr:graphicFrame macro="">
      <xdr:nvGraphicFramePr>
        <xdr:cNvPr id="3" name="Chart 2"/>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3752851" y="2343151"/>
    <xdr:ext cx="3462857" cy="2514599"/>
    <xdr:graphicFrame macro="">
      <xdr:nvGraphicFramePr>
        <xdr:cNvPr id="4" name="Chart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ffxydh\Application%20Data\Microsoft\Excel\Old%20Design%20Tools\PFC%20loop%20com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ffxydh\Desktop\Desktop%20Dump\NCP1562%20Design%20Tool.rev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ype 1 OTA"/>
      <sheetName val="Type 1 Data"/>
      <sheetName val="Type 1 Compensation Gain"/>
      <sheetName val="Type 1 Compensation Phase"/>
      <sheetName val="Type 2 OTA"/>
      <sheetName val="Type 2 Data"/>
      <sheetName val="Type 2 Compensation Gain"/>
      <sheetName val="Type 2 Compensation Phase"/>
    </sheetNames>
    <sheetDataSet>
      <sheetData sheetId="0" refreshError="1"/>
      <sheetData sheetId="1" refreshError="1"/>
      <sheetData sheetId="2" refreshError="1"/>
      <sheetData sheetId="3" refreshError="1"/>
      <sheetData sheetId="4">
        <row r="14">
          <cell r="B14">
            <v>164</v>
          </cell>
        </row>
        <row r="15">
          <cell r="B15">
            <v>250</v>
          </cell>
        </row>
        <row r="28">
          <cell r="B28">
            <v>1.0800681186453731</v>
          </cell>
        </row>
        <row r="30">
          <cell r="B30">
            <v>947.0704209645944</v>
          </cell>
        </row>
        <row r="31">
          <cell r="B31">
            <v>168.90831838185505</v>
          </cell>
        </row>
        <row r="41">
          <cell r="B41">
            <v>2.2000000000000002</v>
          </cell>
        </row>
        <row r="43">
          <cell r="B43">
            <v>40.200000000000003</v>
          </cell>
        </row>
        <row r="45">
          <cell r="B45">
            <v>220</v>
          </cell>
        </row>
      </sheetData>
      <sheetData sheetId="5">
        <row r="2">
          <cell r="A2">
            <v>0.1</v>
          </cell>
        </row>
      </sheetData>
      <sheetData sheetId="6" refreshError="1"/>
      <sheetData sheetId="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tart"/>
      <sheetName val="Step1"/>
      <sheetName val="Step2"/>
      <sheetName val="Step3"/>
      <sheetName val="Step4"/>
      <sheetName val="Step5"/>
      <sheetName val="Step6"/>
      <sheetName val="Step7"/>
      <sheetName val="Step8"/>
      <sheetName val="Step9"/>
      <sheetName val="BOM"/>
      <sheetName val="Data2"/>
      <sheetName val="Data3"/>
      <sheetName val="Data4"/>
      <sheetName val="FreqCalculations"/>
      <sheetName val="Rev History"/>
    </sheetNames>
    <sheetDataSet>
      <sheetData sheetId="0"/>
      <sheetData sheetId="1">
        <row r="11">
          <cell r="B11">
            <v>350</v>
          </cell>
        </row>
        <row r="22">
          <cell r="B22">
            <v>0.27092685503036706</v>
          </cell>
        </row>
        <row r="23">
          <cell r="B23">
            <v>0.62675626145387897</v>
          </cell>
        </row>
      </sheetData>
      <sheetData sheetId="2">
        <row r="4">
          <cell r="J4">
            <v>120</v>
          </cell>
        </row>
        <row r="7">
          <cell r="C7">
            <v>4.5827454826662644</v>
          </cell>
        </row>
      </sheetData>
      <sheetData sheetId="3">
        <row r="7">
          <cell r="D7">
            <v>8.8000000000000007</v>
          </cell>
        </row>
      </sheetData>
      <sheetData sheetId="4">
        <row r="7">
          <cell r="C7">
            <v>544</v>
          </cell>
        </row>
        <row r="23">
          <cell r="B23">
            <v>100</v>
          </cell>
        </row>
      </sheetData>
      <sheetData sheetId="5">
        <row r="6">
          <cell r="C6">
            <v>12</v>
          </cell>
        </row>
      </sheetData>
      <sheetData sheetId="6">
        <row r="19">
          <cell r="J19">
            <v>45.2</v>
          </cell>
        </row>
        <row r="23">
          <cell r="J23">
            <v>470</v>
          </cell>
        </row>
      </sheetData>
      <sheetData sheetId="7">
        <row r="25">
          <cell r="H25">
            <v>15</v>
          </cell>
        </row>
      </sheetData>
      <sheetData sheetId="8">
        <row r="4">
          <cell r="E4">
            <v>1</v>
          </cell>
        </row>
      </sheetData>
      <sheetData sheetId="9">
        <row r="4">
          <cell r="B4">
            <v>3.01</v>
          </cell>
        </row>
      </sheetData>
      <sheetData sheetId="10">
        <row r="85">
          <cell r="B85">
            <v>20</v>
          </cell>
        </row>
      </sheetData>
      <sheetData sheetId="11">
        <row r="3">
          <cell r="J3" t="str">
            <v>Np/Ns1</v>
          </cell>
        </row>
        <row r="34">
          <cell r="K34">
            <v>0.4924513482851906</v>
          </cell>
        </row>
      </sheetData>
      <sheetData sheetId="12">
        <row r="5">
          <cell r="B5">
            <v>2.0499999999999998</v>
          </cell>
          <cell r="E5">
            <v>9.2999999999999999E-2</v>
          </cell>
        </row>
        <row r="8">
          <cell r="B8">
            <v>2.95</v>
          </cell>
          <cell r="E8">
            <v>9.2999999999999999E-2</v>
          </cell>
        </row>
        <row r="11">
          <cell r="B11">
            <v>4.8000000000000001E-2</v>
          </cell>
        </row>
        <row r="89">
          <cell r="B89">
            <v>90</v>
          </cell>
        </row>
        <row r="90">
          <cell r="B90">
            <v>8.6</v>
          </cell>
        </row>
        <row r="91">
          <cell r="B91">
            <v>10.199999999999999</v>
          </cell>
        </row>
      </sheetData>
      <sheetData sheetId="13">
        <row r="4">
          <cell r="F4">
            <v>100</v>
          </cell>
        </row>
      </sheetData>
      <sheetData sheetId="14">
        <row r="2">
          <cell r="A2">
            <v>10</v>
          </cell>
        </row>
      </sheetData>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lan.finkel@onsemi.com" TargetMode="Externa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3.xml"/><Relationship Id="rId5" Type="http://schemas.openxmlformats.org/officeDocument/2006/relationships/control" Target="../activeX/activeX5.xml"/><Relationship Id="rId4" Type="http://schemas.openxmlformats.org/officeDocument/2006/relationships/control" Target="../activeX/activeX4.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control" Target="../activeX/activeX6.xml"/><Relationship Id="rId1" Type="http://schemas.openxmlformats.org/officeDocument/2006/relationships/vmlDrawing" Target="../drawings/vmlDrawing4.vml"/><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8.xml"/><Relationship Id="rId2" Type="http://schemas.openxmlformats.org/officeDocument/2006/relationships/vmlDrawing" Target="../drawings/vmlDrawing5.vml"/><Relationship Id="rId1" Type="http://schemas.openxmlformats.org/officeDocument/2006/relationships/drawing" Target="../drawings/drawing1.xml"/><Relationship Id="rId5" Type="http://schemas.openxmlformats.org/officeDocument/2006/relationships/comments" Target="../comments5.xml"/><Relationship Id="rId4" Type="http://schemas.openxmlformats.org/officeDocument/2006/relationships/control" Target="../activeX/activeX9.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openxmlformats.org/officeDocument/2006/relationships/comments" Target="../comments6.xml"/><Relationship Id="rId4" Type="http://schemas.openxmlformats.org/officeDocument/2006/relationships/control" Target="../activeX/activeX10.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codeName="Sheet10"/>
  <dimension ref="A1:K32"/>
  <sheetViews>
    <sheetView tabSelected="1" workbookViewId="0">
      <selection activeCell="K22" sqref="K22"/>
    </sheetView>
  </sheetViews>
  <sheetFormatPr defaultRowHeight="12.75"/>
  <cols>
    <col min="1" max="16384" width="9.140625" style="14"/>
  </cols>
  <sheetData>
    <row r="1" spans="1:11">
      <c r="A1" s="163" t="s">
        <v>266</v>
      </c>
      <c r="B1" s="163"/>
      <c r="C1" s="163"/>
      <c r="D1" s="163"/>
      <c r="E1" s="163"/>
      <c r="F1" s="163"/>
      <c r="G1" s="163"/>
      <c r="H1" s="163"/>
      <c r="I1" s="163"/>
      <c r="J1" s="163"/>
    </row>
    <row r="3" spans="1:11" ht="12.75" customHeight="1">
      <c r="A3" s="164" t="s">
        <v>195</v>
      </c>
      <c r="B3" s="165"/>
      <c r="C3" s="165"/>
      <c r="D3" s="165"/>
      <c r="E3" s="165"/>
      <c r="F3" s="165"/>
      <c r="G3" s="165"/>
      <c r="H3" s="165"/>
      <c r="I3" s="165"/>
      <c r="J3" s="165"/>
      <c r="K3" s="78"/>
    </row>
    <row r="4" spans="1:11">
      <c r="A4" s="165"/>
      <c r="B4" s="165"/>
      <c r="C4" s="165"/>
      <c r="D4" s="165"/>
      <c r="E4" s="165"/>
      <c r="F4" s="165"/>
      <c r="G4" s="165"/>
      <c r="H4" s="165"/>
      <c r="I4" s="165"/>
      <c r="J4" s="165"/>
      <c r="K4" s="78"/>
    </row>
    <row r="5" spans="1:11">
      <c r="A5" s="165"/>
      <c r="B5" s="165"/>
      <c r="C5" s="165"/>
      <c r="D5" s="165"/>
      <c r="E5" s="165"/>
      <c r="F5" s="165"/>
      <c r="G5" s="165"/>
      <c r="H5" s="165"/>
      <c r="I5" s="165"/>
      <c r="J5" s="165"/>
      <c r="K5" s="78"/>
    </row>
    <row r="6" spans="1:11">
      <c r="A6" s="165"/>
      <c r="B6" s="165"/>
      <c r="C6" s="165"/>
      <c r="D6" s="165"/>
      <c r="E6" s="165"/>
      <c r="F6" s="165"/>
      <c r="G6" s="165"/>
      <c r="H6" s="165"/>
      <c r="I6" s="165"/>
      <c r="J6" s="165"/>
      <c r="K6" s="78"/>
    </row>
    <row r="7" spans="1:11">
      <c r="A7" s="165"/>
      <c r="B7" s="165"/>
      <c r="C7" s="165"/>
      <c r="D7" s="165"/>
      <c r="E7" s="165"/>
      <c r="F7" s="165"/>
      <c r="G7" s="165"/>
      <c r="H7" s="165"/>
      <c r="I7" s="165"/>
      <c r="J7" s="165"/>
      <c r="K7" s="78"/>
    </row>
    <row r="8" spans="1:11">
      <c r="A8" s="78"/>
      <c r="B8" s="78"/>
      <c r="C8" s="78"/>
      <c r="D8" s="78"/>
      <c r="E8" s="78"/>
      <c r="F8" s="78"/>
      <c r="G8" s="78"/>
      <c r="H8" s="78"/>
      <c r="I8" s="78"/>
      <c r="J8" s="78"/>
      <c r="K8" s="78"/>
    </row>
    <row r="9" spans="1:11">
      <c r="B9" s="79"/>
      <c r="C9" s="80" t="s">
        <v>168</v>
      </c>
      <c r="D9" s="81"/>
      <c r="F9" s="79"/>
      <c r="G9" s="79"/>
      <c r="H9" s="79"/>
      <c r="I9" s="79"/>
    </row>
    <row r="10" spans="1:11">
      <c r="A10" s="79"/>
      <c r="B10" s="79"/>
      <c r="C10" s="79"/>
      <c r="D10" s="79"/>
      <c r="E10" s="79"/>
      <c r="F10" s="79"/>
      <c r="G10" s="79"/>
      <c r="H10" s="79"/>
      <c r="I10" s="79"/>
    </row>
    <row r="11" spans="1:11" ht="12.75" customHeight="1">
      <c r="A11" s="162" t="s">
        <v>169</v>
      </c>
      <c r="B11" s="162"/>
      <c r="C11" s="162"/>
      <c r="D11" s="162"/>
      <c r="E11" s="162"/>
      <c r="F11" s="162"/>
      <c r="G11" s="162"/>
      <c r="H11" s="162"/>
      <c r="I11" s="162"/>
      <c r="J11" s="162"/>
    </row>
    <row r="12" spans="1:11">
      <c r="A12" s="82"/>
    </row>
    <row r="13" spans="1:11">
      <c r="A13" s="83" t="s">
        <v>170</v>
      </c>
    </row>
    <row r="14" spans="1:11" ht="12.75" customHeight="1">
      <c r="A14" s="162" t="s">
        <v>171</v>
      </c>
      <c r="B14" s="162"/>
      <c r="C14" s="162"/>
      <c r="D14" s="162"/>
      <c r="E14" s="162"/>
      <c r="F14" s="162"/>
      <c r="G14" s="162"/>
      <c r="H14" s="162"/>
      <c r="I14" s="162"/>
      <c r="J14" s="162"/>
      <c r="K14" s="79"/>
    </row>
    <row r="15" spans="1:11" ht="12.75" customHeight="1">
      <c r="A15" s="162"/>
      <c r="B15" s="162"/>
      <c r="C15" s="162"/>
      <c r="D15" s="162"/>
      <c r="E15" s="162"/>
      <c r="F15" s="162"/>
      <c r="G15" s="162"/>
      <c r="H15" s="162"/>
      <c r="I15" s="162"/>
      <c r="J15" s="162"/>
      <c r="K15" s="79"/>
    </row>
    <row r="16" spans="1:11">
      <c r="A16" s="162"/>
      <c r="B16" s="162"/>
      <c r="C16" s="162"/>
      <c r="D16" s="162"/>
      <c r="E16" s="162"/>
      <c r="F16" s="162"/>
      <c r="G16" s="162"/>
      <c r="H16" s="162"/>
      <c r="I16" s="162"/>
      <c r="J16" s="162"/>
      <c r="K16" s="79"/>
    </row>
    <row r="17" spans="1:11">
      <c r="A17" s="84"/>
      <c r="B17" s="84"/>
      <c r="C17" s="84"/>
      <c r="D17" s="84"/>
      <c r="E17" s="84"/>
      <c r="F17" s="84"/>
      <c r="G17" s="84"/>
      <c r="H17" s="84"/>
      <c r="I17" s="84"/>
    </row>
    <row r="18" spans="1:11" ht="12.75" customHeight="1">
      <c r="A18" s="79"/>
      <c r="B18" s="80" t="s">
        <v>172</v>
      </c>
      <c r="C18" s="85"/>
      <c r="E18" s="80" t="s">
        <v>173</v>
      </c>
      <c r="F18" s="86"/>
      <c r="I18" s="79"/>
    </row>
    <row r="19" spans="1:11">
      <c r="A19" s="79"/>
      <c r="E19" s="79"/>
      <c r="F19" s="79"/>
      <c r="G19" s="79"/>
      <c r="H19" s="79"/>
      <c r="I19" s="79"/>
    </row>
    <row r="20" spans="1:11">
      <c r="A20" s="87" t="s">
        <v>174</v>
      </c>
      <c r="B20" s="79"/>
      <c r="C20" s="79"/>
      <c r="D20" s="79"/>
      <c r="E20" s="79"/>
      <c r="F20" s="79"/>
      <c r="G20" s="79"/>
      <c r="H20" s="79"/>
      <c r="I20" s="79"/>
    </row>
    <row r="21" spans="1:11" ht="12.75" customHeight="1">
      <c r="A21" s="162" t="s">
        <v>175</v>
      </c>
      <c r="B21" s="162"/>
      <c r="C21" s="162"/>
      <c r="D21" s="162"/>
      <c r="E21" s="162"/>
      <c r="F21" s="162"/>
      <c r="G21" s="162"/>
      <c r="H21" s="162"/>
      <c r="I21" s="162"/>
      <c r="J21" s="162"/>
      <c r="K21" s="79"/>
    </row>
    <row r="22" spans="1:11">
      <c r="A22" s="162"/>
      <c r="B22" s="162"/>
      <c r="C22" s="162"/>
      <c r="D22" s="162"/>
      <c r="E22" s="162"/>
      <c r="F22" s="162"/>
      <c r="G22" s="162"/>
      <c r="H22" s="162"/>
      <c r="I22" s="162"/>
      <c r="J22" s="162"/>
      <c r="K22" s="79"/>
    </row>
    <row r="23" spans="1:11">
      <c r="A23" s="79"/>
      <c r="B23" s="79"/>
      <c r="C23" s="79"/>
      <c r="D23" s="79"/>
      <c r="E23" s="79"/>
      <c r="F23" s="79"/>
      <c r="G23" s="79"/>
      <c r="H23" s="79"/>
      <c r="I23" s="79"/>
    </row>
    <row r="24" spans="1:11" ht="12.75" customHeight="1">
      <c r="A24" s="162" t="s">
        <v>176</v>
      </c>
      <c r="B24" s="162"/>
      <c r="C24" s="162"/>
      <c r="D24" s="162"/>
      <c r="E24" s="162"/>
      <c r="F24" s="162"/>
      <c r="G24" s="162"/>
      <c r="H24" s="162"/>
      <c r="I24" s="162"/>
      <c r="J24" s="162"/>
      <c r="K24" s="79"/>
    </row>
    <row r="25" spans="1:11">
      <c r="A25" s="162"/>
      <c r="B25" s="162"/>
      <c r="C25" s="162"/>
      <c r="D25" s="162"/>
      <c r="E25" s="162"/>
      <c r="F25" s="162"/>
      <c r="G25" s="162"/>
      <c r="H25" s="162"/>
      <c r="I25" s="162"/>
      <c r="J25" s="162"/>
      <c r="K25" s="79"/>
    </row>
    <row r="26" spans="1:11">
      <c r="A26" s="84"/>
      <c r="B26" s="84"/>
      <c r="C26" s="84"/>
      <c r="D26" s="84"/>
      <c r="E26" s="84"/>
      <c r="F26" s="84"/>
      <c r="G26" s="84"/>
      <c r="H26" s="84"/>
      <c r="I26" s="84"/>
    </row>
    <row r="27" spans="1:11">
      <c r="A27" s="88" t="s">
        <v>177</v>
      </c>
      <c r="B27" s="84"/>
      <c r="C27" s="84"/>
      <c r="D27" s="84"/>
      <c r="E27" s="84"/>
      <c r="F27" s="84"/>
      <c r="G27" s="84"/>
      <c r="H27" s="84"/>
      <c r="I27" s="84"/>
    </row>
    <row r="28" spans="1:11">
      <c r="A28" s="89" t="s">
        <v>178</v>
      </c>
      <c r="B28" s="84"/>
      <c r="C28" s="84"/>
      <c r="D28" s="84"/>
      <c r="E28" s="84"/>
      <c r="F28" s="84"/>
      <c r="G28" s="84"/>
      <c r="H28" s="84"/>
      <c r="I28" s="84"/>
    </row>
    <row r="29" spans="1:11">
      <c r="A29" s="84"/>
      <c r="B29" s="84"/>
      <c r="C29" s="84"/>
      <c r="D29" s="84"/>
      <c r="E29" s="84"/>
      <c r="F29" s="84"/>
      <c r="G29" s="84"/>
      <c r="H29" s="84"/>
      <c r="I29" s="84"/>
    </row>
    <row r="30" spans="1:11">
      <c r="A30" s="90" t="s">
        <v>179</v>
      </c>
      <c r="B30" s="84"/>
      <c r="C30" s="84"/>
      <c r="D30" s="84"/>
      <c r="E30" s="84"/>
      <c r="F30" s="84"/>
      <c r="G30" s="84"/>
      <c r="H30" s="84"/>
      <c r="I30" s="84"/>
    </row>
    <row r="31" spans="1:11">
      <c r="A31" s="14" t="s">
        <v>180</v>
      </c>
    </row>
    <row r="32" spans="1:11">
      <c r="A32" s="57" t="s">
        <v>265</v>
      </c>
    </row>
  </sheetData>
  <sheetProtection password="C582" sheet="1" objects="1" scenarios="1" selectLockedCells="1"/>
  <customSheetViews>
    <customSheetView guid="{5C4C4562-8D75-44A5-9C48-D483FC9D01A7}">
      <selection activeCell="D9" sqref="D9"/>
      <pageMargins left="0.7" right="0.7" top="0.75" bottom="0.75" header="0.3" footer="0.3"/>
      <pageSetup orientation="portrait" r:id="rId1"/>
    </customSheetView>
  </customSheetViews>
  <mergeCells count="6">
    <mergeCell ref="A14:J16"/>
    <mergeCell ref="A21:J22"/>
    <mergeCell ref="A24:J25"/>
    <mergeCell ref="A1:J1"/>
    <mergeCell ref="A3:J7"/>
    <mergeCell ref="A11:J11"/>
  </mergeCells>
  <hyperlinks>
    <hyperlink ref="A28" r:id="rId2"/>
  </hyperlinks>
  <pageMargins left="0.7" right="0.7" top="0.75" bottom="0.75" header="0.3" footer="0.3"/>
  <pageSetup orientation="portrait" r:id="rId3"/>
  <legacyDrawing r:id="rId4"/>
  <controls>
    <control shapeId="3073" r:id="rId5" name="CommandButton1"/>
  </controls>
</worksheet>
</file>

<file path=xl/worksheets/sheet2.xml><?xml version="1.0" encoding="utf-8"?>
<worksheet xmlns="http://schemas.openxmlformats.org/spreadsheetml/2006/main" xmlns:r="http://schemas.openxmlformats.org/officeDocument/2006/relationships">
  <sheetPr codeName="Sheet2"/>
  <dimension ref="A1:R49"/>
  <sheetViews>
    <sheetView workbookViewId="0">
      <selection activeCell="B13" sqref="B13"/>
    </sheetView>
  </sheetViews>
  <sheetFormatPr defaultRowHeight="12.75"/>
  <cols>
    <col min="1" max="1" width="27" style="14" bestFit="1" customWidth="1"/>
    <col min="2" max="2" width="5.140625" style="14" bestFit="1" customWidth="1"/>
    <col min="3" max="3" width="4.42578125" style="14" bestFit="1" customWidth="1"/>
    <col min="4" max="4" width="0.85546875" style="14" customWidth="1"/>
    <col min="5" max="5" width="22.7109375" style="14" bestFit="1" customWidth="1"/>
    <col min="6" max="8" width="4.5703125" style="14" bestFit="1" customWidth="1"/>
    <col min="9" max="9" width="4.42578125" style="14" bestFit="1" customWidth="1"/>
    <col min="10" max="16384" width="9.140625" style="14"/>
  </cols>
  <sheetData>
    <row r="1" spans="1:18" ht="18">
      <c r="A1" s="167" t="s">
        <v>189</v>
      </c>
      <c r="B1" s="167"/>
      <c r="C1" s="167"/>
      <c r="D1" s="167"/>
      <c r="E1" s="167"/>
      <c r="F1" s="167"/>
      <c r="G1" s="167"/>
      <c r="H1" s="167"/>
      <c r="I1" s="167"/>
    </row>
    <row r="2" spans="1:18" ht="18">
      <c r="A2" s="53"/>
    </row>
    <row r="3" spans="1:18">
      <c r="A3" s="170" t="s">
        <v>184</v>
      </c>
      <c r="B3" s="170"/>
      <c r="C3" s="170"/>
      <c r="E3" s="68" t="s">
        <v>190</v>
      </c>
    </row>
    <row r="4" spans="1:18" ht="15.75">
      <c r="A4" s="54" t="s">
        <v>0</v>
      </c>
      <c r="B4" s="55">
        <v>85</v>
      </c>
      <c r="C4" s="56" t="s">
        <v>1</v>
      </c>
      <c r="E4" s="58" t="s">
        <v>192</v>
      </c>
      <c r="F4" s="168">
        <f>Vbulk/(F6/100)</f>
        <v>500</v>
      </c>
      <c r="G4" s="168"/>
      <c r="H4" s="168"/>
      <c r="I4" s="56" t="s">
        <v>183</v>
      </c>
      <c r="L4" s="57"/>
    </row>
    <row r="5" spans="1:18" ht="15.75">
      <c r="A5" s="54" t="s">
        <v>2</v>
      </c>
      <c r="B5" s="55">
        <v>265</v>
      </c>
      <c r="C5" s="56" t="s">
        <v>1</v>
      </c>
      <c r="E5" s="58" t="s">
        <v>193</v>
      </c>
      <c r="F5" s="168">
        <f>Vbulk/(F7/100)</f>
        <v>500</v>
      </c>
      <c r="G5" s="168"/>
      <c r="H5" s="168"/>
      <c r="I5" s="56" t="s">
        <v>183</v>
      </c>
    </row>
    <row r="6" spans="1:18">
      <c r="A6" s="54" t="s">
        <v>3</v>
      </c>
      <c r="B6" s="55">
        <v>47</v>
      </c>
      <c r="C6" s="56" t="s">
        <v>4</v>
      </c>
      <c r="E6" s="58" t="s">
        <v>194</v>
      </c>
      <c r="F6" s="169">
        <v>80</v>
      </c>
      <c r="G6" s="169"/>
      <c r="H6" s="169"/>
      <c r="I6" s="70" t="s">
        <v>9</v>
      </c>
    </row>
    <row r="7" spans="1:18">
      <c r="A7" s="54" t="s">
        <v>5</v>
      </c>
      <c r="B7" s="55">
        <v>63</v>
      </c>
      <c r="C7" s="56" t="s">
        <v>4</v>
      </c>
      <c r="E7" s="58" t="s">
        <v>191</v>
      </c>
      <c r="F7" s="169">
        <v>80</v>
      </c>
      <c r="G7" s="169"/>
      <c r="H7" s="169"/>
      <c r="I7" s="70" t="s">
        <v>9</v>
      </c>
    </row>
    <row r="8" spans="1:18">
      <c r="E8" s="75"/>
      <c r="F8" s="62"/>
      <c r="G8" s="62"/>
      <c r="H8" s="62"/>
      <c r="I8" s="144"/>
      <c r="K8" s="62"/>
      <c r="L8" s="62"/>
      <c r="M8" s="62"/>
      <c r="N8" s="63"/>
    </row>
    <row r="9" spans="1:18">
      <c r="A9" s="170" t="s">
        <v>186</v>
      </c>
      <c r="B9" s="170"/>
      <c r="C9" s="170"/>
      <c r="E9" s="75"/>
      <c r="F9" s="145"/>
      <c r="G9" s="145"/>
      <c r="H9" s="145"/>
      <c r="I9" s="68"/>
    </row>
    <row r="10" spans="1:18">
      <c r="A10" s="54" t="s">
        <v>68</v>
      </c>
      <c r="B10" s="160">
        <f>Vbulk*0.95</f>
        <v>380</v>
      </c>
      <c r="C10" s="56" t="s">
        <v>183</v>
      </c>
      <c r="E10" s="75"/>
      <c r="F10" s="146"/>
      <c r="G10" s="146"/>
      <c r="H10" s="146"/>
      <c r="I10" s="68"/>
    </row>
    <row r="11" spans="1:18">
      <c r="A11" s="54" t="s">
        <v>67</v>
      </c>
      <c r="B11" s="55">
        <v>400</v>
      </c>
      <c r="C11" s="56" t="s">
        <v>183</v>
      </c>
      <c r="E11" s="75"/>
      <c r="F11" s="146"/>
      <c r="G11" s="146"/>
      <c r="H11" s="146"/>
      <c r="I11" s="68"/>
    </row>
    <row r="12" spans="1:18">
      <c r="A12" s="54" t="s">
        <v>66</v>
      </c>
      <c r="B12" s="160">
        <f>Vbulk*1.05</f>
        <v>420</v>
      </c>
      <c r="C12" s="56" t="s">
        <v>183</v>
      </c>
      <c r="E12" s="75"/>
      <c r="F12" s="147"/>
      <c r="G12" s="147"/>
      <c r="H12" s="147"/>
      <c r="I12" s="68"/>
    </row>
    <row r="13" spans="1:18" ht="14.25">
      <c r="A13" s="54" t="s">
        <v>69</v>
      </c>
      <c r="B13" s="55">
        <v>20</v>
      </c>
      <c r="C13" s="56" t="s">
        <v>254</v>
      </c>
      <c r="E13" s="75"/>
      <c r="F13" s="147"/>
      <c r="G13" s="147"/>
      <c r="H13" s="147"/>
      <c r="I13" s="68"/>
      <c r="P13" s="64"/>
    </row>
    <row r="14" spans="1:18">
      <c r="A14" s="54" t="s">
        <v>185</v>
      </c>
      <c r="B14" s="55">
        <v>0.3</v>
      </c>
      <c r="C14" s="56" t="s">
        <v>12</v>
      </c>
      <c r="E14" s="75"/>
      <c r="F14" s="161"/>
      <c r="G14" s="161"/>
      <c r="H14" s="161"/>
      <c r="I14" s="68"/>
      <c r="P14" s="64"/>
    </row>
    <row r="15" spans="1:18">
      <c r="A15" s="54" t="s">
        <v>10</v>
      </c>
      <c r="B15" s="65">
        <f>Vbulk*B14</f>
        <v>120</v>
      </c>
      <c r="C15" s="56" t="s">
        <v>11</v>
      </c>
      <c r="E15" s="95"/>
      <c r="F15" s="95"/>
      <c r="G15" s="95"/>
      <c r="H15" s="95"/>
      <c r="I15" s="95"/>
      <c r="O15" s="64"/>
      <c r="P15" s="64"/>
      <c r="Q15" s="66"/>
      <c r="R15" s="67"/>
    </row>
    <row r="16" spans="1:18">
      <c r="A16" s="54" t="s">
        <v>82</v>
      </c>
      <c r="B16" s="55">
        <v>132</v>
      </c>
      <c r="C16" s="56" t="s">
        <v>11</v>
      </c>
      <c r="E16" s="95"/>
      <c r="F16" s="95"/>
      <c r="G16" s="95"/>
      <c r="H16" s="95"/>
      <c r="I16" s="95"/>
      <c r="O16" s="64"/>
      <c r="P16" s="64"/>
      <c r="Q16" s="66"/>
      <c r="R16" s="67"/>
    </row>
    <row r="17" spans="1:18">
      <c r="A17" s="54" t="s">
        <v>81</v>
      </c>
      <c r="B17" s="55">
        <v>132</v>
      </c>
      <c r="C17" s="56" t="s">
        <v>11</v>
      </c>
      <c r="E17" s="95"/>
      <c r="F17" s="95"/>
      <c r="G17" s="95"/>
      <c r="H17" s="95"/>
      <c r="I17" s="95"/>
      <c r="O17" s="64"/>
      <c r="P17" s="64"/>
      <c r="Q17" s="66"/>
      <c r="R17" s="67"/>
    </row>
    <row r="18" spans="1:18">
      <c r="A18" s="54" t="s">
        <v>7</v>
      </c>
      <c r="B18" s="55">
        <v>50</v>
      </c>
      <c r="C18" s="56" t="s">
        <v>8</v>
      </c>
      <c r="E18" s="95"/>
      <c r="F18" s="95"/>
      <c r="G18" s="95"/>
      <c r="H18" s="95"/>
      <c r="I18" s="95"/>
    </row>
    <row r="19" spans="1:18">
      <c r="A19" s="54" t="s">
        <v>187</v>
      </c>
      <c r="B19" s="55">
        <v>92</v>
      </c>
      <c r="C19" s="56" t="s">
        <v>9</v>
      </c>
      <c r="E19" s="75"/>
      <c r="F19" s="161"/>
      <c r="G19" s="161"/>
      <c r="H19" s="161"/>
      <c r="I19" s="68"/>
    </row>
    <row r="20" spans="1:18" ht="12.75" customHeight="1">
      <c r="A20" s="58" t="s">
        <v>196</v>
      </c>
      <c r="B20" s="59">
        <f>(Vbulk-Vacmax*SQRT(2))/Vzcdhmax</f>
        <v>30.585946631672485</v>
      </c>
      <c r="C20" s="60" t="s">
        <v>181</v>
      </c>
      <c r="E20" s="75"/>
      <c r="F20" s="148"/>
      <c r="G20" s="148"/>
      <c r="H20" s="148"/>
      <c r="I20" s="68"/>
    </row>
    <row r="21" spans="1:18" ht="12.75" customHeight="1">
      <c r="A21" s="58" t="s">
        <v>182</v>
      </c>
      <c r="B21" s="69">
        <v>10</v>
      </c>
      <c r="C21" s="60" t="s">
        <v>181</v>
      </c>
      <c r="E21" s="95"/>
      <c r="F21" s="95"/>
      <c r="G21" s="95"/>
      <c r="H21" s="95"/>
      <c r="I21" s="95"/>
    </row>
    <row r="22" spans="1:18" ht="12.75" customHeight="1">
      <c r="A22" s="71" t="s">
        <v>197</v>
      </c>
      <c r="B22" s="72">
        <f>(Vbulk-Vacmax*SQRT(2))/ZCDratio</f>
        <v>2.5233405971129796</v>
      </c>
      <c r="C22" s="56" t="s">
        <v>183</v>
      </c>
      <c r="E22" s="95"/>
      <c r="F22" s="95"/>
      <c r="G22" s="95"/>
      <c r="H22" s="95"/>
      <c r="I22" s="95"/>
    </row>
    <row r="23" spans="1:18" ht="12.75" customHeight="1">
      <c r="A23" s="71" t="s">
        <v>198</v>
      </c>
      <c r="B23" s="73">
        <f>(Vbulk-Vacmin*SQRT(2))/ZCDratio</f>
        <v>27.979184719828691</v>
      </c>
      <c r="C23" s="56" t="s">
        <v>183</v>
      </c>
      <c r="E23" s="75"/>
      <c r="F23" s="161"/>
      <c r="G23" s="161"/>
      <c r="H23" s="161"/>
      <c r="I23" s="144"/>
    </row>
    <row r="24" spans="1:18" ht="12.75" customHeight="1">
      <c r="A24" s="71" t="s">
        <v>199</v>
      </c>
      <c r="B24" s="73">
        <f>-Vacmax*SQRT(2)/ZCDratio</f>
        <v>-37.476659402887023</v>
      </c>
      <c r="C24" s="56" t="s">
        <v>183</v>
      </c>
      <c r="E24" s="75"/>
      <c r="F24" s="161"/>
      <c r="G24" s="161"/>
      <c r="H24" s="161"/>
      <c r="I24" s="144"/>
    </row>
    <row r="25" spans="1:18" ht="12.75" customHeight="1">
      <c r="A25" s="74"/>
    </row>
    <row r="26" spans="1:18" ht="12.75" customHeight="1"/>
    <row r="27" spans="1:18" ht="12.75" customHeight="1">
      <c r="A27" s="166" t="s">
        <v>267</v>
      </c>
      <c r="B27" s="166"/>
      <c r="C27" s="166"/>
      <c r="D27" s="166"/>
      <c r="E27" s="166"/>
      <c r="F27" s="166"/>
      <c r="G27" s="166"/>
      <c r="H27" s="166"/>
      <c r="I27" s="166"/>
    </row>
    <row r="28" spans="1:18" ht="15.75">
      <c r="A28" s="166"/>
      <c r="B28" s="166"/>
      <c r="C28" s="166"/>
      <c r="D28" s="166"/>
      <c r="E28" s="166"/>
      <c r="F28" s="166"/>
      <c r="G28" s="166"/>
      <c r="H28" s="166"/>
      <c r="I28" s="166"/>
      <c r="K28" s="76"/>
      <c r="L28" s="76"/>
      <c r="M28" s="76"/>
      <c r="N28" s="76"/>
    </row>
    <row r="31" spans="1:18" ht="15.75">
      <c r="J31" s="76"/>
    </row>
    <row r="34" spans="1:12" hidden="1">
      <c r="A34" s="47" t="s">
        <v>188</v>
      </c>
      <c r="B34" s="48">
        <f>Peff2/100</f>
        <v>0.92</v>
      </c>
    </row>
    <row r="35" spans="1:12" hidden="1">
      <c r="A35" s="47" t="s">
        <v>206</v>
      </c>
      <c r="B35" s="48">
        <f>Feff2/100</f>
        <v>0</v>
      </c>
    </row>
    <row r="36" spans="1:12" hidden="1">
      <c r="A36" s="48" t="s">
        <v>194</v>
      </c>
      <c r="B36" s="48">
        <f>Kdermos2/100</f>
        <v>0.8</v>
      </c>
      <c r="E36" s="57"/>
      <c r="F36" s="77"/>
      <c r="L36" s="67"/>
    </row>
    <row r="37" spans="1:12" hidden="1">
      <c r="A37" s="48" t="s">
        <v>191</v>
      </c>
      <c r="B37" s="48">
        <f>Kderdiode2/100</f>
        <v>0.8</v>
      </c>
      <c r="L37" s="67"/>
    </row>
    <row r="38" spans="1:12" hidden="1">
      <c r="A38" s="49" t="s">
        <v>207</v>
      </c>
      <c r="B38" s="48" t="e">
        <f>Vout1+Vfwd1</f>
        <v>#REF!</v>
      </c>
      <c r="J38" s="67"/>
    </row>
    <row r="39" spans="1:12" hidden="1">
      <c r="A39" s="47" t="s">
        <v>208</v>
      </c>
      <c r="B39" s="48" t="e">
        <f>Vout2+Vfwd2</f>
        <v>#REF!</v>
      </c>
      <c r="J39" s="57"/>
    </row>
    <row r="40" spans="1:12" hidden="1">
      <c r="A40" s="47" t="s">
        <v>209</v>
      </c>
      <c r="B40" s="48" t="e">
        <f>Vaux+Vfwdaux</f>
        <v>#REF!</v>
      </c>
      <c r="E40" s="57"/>
      <c r="J40" s="57"/>
    </row>
    <row r="41" spans="1:12" ht="12.75" customHeight="1">
      <c r="E41" s="57"/>
      <c r="L41" s="67"/>
    </row>
    <row r="42" spans="1:12" ht="12.75" customHeight="1">
      <c r="E42" s="57"/>
    </row>
    <row r="43" spans="1:12">
      <c r="L43" s="67"/>
    </row>
    <row r="44" spans="1:12">
      <c r="J44" s="57"/>
      <c r="L44" s="67"/>
    </row>
    <row r="45" spans="1:12">
      <c r="K45" s="57" t="s">
        <v>167</v>
      </c>
      <c r="L45" s="67"/>
    </row>
    <row r="46" spans="1:12">
      <c r="J46" s="57"/>
      <c r="L46" s="67"/>
    </row>
    <row r="47" spans="1:12">
      <c r="J47" s="57"/>
    </row>
    <row r="48" spans="1:12">
      <c r="J48" s="57"/>
    </row>
    <row r="49" spans="10:10">
      <c r="J49" s="57"/>
    </row>
  </sheetData>
  <sheetProtection password="C582" sheet="1" objects="1" scenarios="1" selectLockedCells="1"/>
  <customSheetViews>
    <customSheetView guid="{5C4C4562-8D75-44A5-9C48-D483FC9D01A7}">
      <selection activeCell="L14" sqref="L14"/>
      <pageMargins left="0.75" right="0.75" top="1" bottom="1" header="0.5" footer="0.5"/>
      <pageSetup orientation="portrait" r:id="rId1"/>
      <headerFooter alignWithMargins="0"/>
    </customSheetView>
  </customSheetViews>
  <mergeCells count="8">
    <mergeCell ref="A27:I28"/>
    <mergeCell ref="A1:I1"/>
    <mergeCell ref="F4:H4"/>
    <mergeCell ref="F5:H5"/>
    <mergeCell ref="F6:H6"/>
    <mergeCell ref="F7:H7"/>
    <mergeCell ref="A3:C3"/>
    <mergeCell ref="A9:C9"/>
  </mergeCells>
  <phoneticPr fontId="5" type="noConversion"/>
  <conditionalFormatting sqref="B22">
    <cfRule type="cellIs" dxfId="35" priority="1" stopIfTrue="1" operator="greaterThanOrEqual">
      <formula>Vzcdhmax</formula>
    </cfRule>
    <cfRule type="cellIs" dxfId="34" priority="2" stopIfTrue="1" operator="lessThan">
      <formula>Vzcdhmax</formula>
    </cfRule>
  </conditionalFormatting>
  <pageMargins left="0.75" right="0.75" top="1" bottom="1" header="0.5" footer="0.5"/>
  <pageSetup orientation="portrait" r:id="rId2"/>
  <headerFooter alignWithMargins="0"/>
  <ignoredErrors>
    <ignoredError sqref="B39" formula="1"/>
  </ignoredErrors>
  <legacyDrawing r:id="rId3"/>
  <controls>
    <control shapeId="4105" r:id="rId4" name="CommandButton3"/>
    <control shapeId="4104" r:id="rId5" name="CommandButton2"/>
  </controls>
</worksheet>
</file>

<file path=xl/worksheets/sheet3.xml><?xml version="1.0" encoding="utf-8"?>
<worksheet xmlns="http://schemas.openxmlformats.org/spreadsheetml/2006/main" xmlns:r="http://schemas.openxmlformats.org/officeDocument/2006/relationships">
  <sheetPr codeName="Sheet14"/>
  <dimension ref="A1:I13"/>
  <sheetViews>
    <sheetView workbookViewId="0">
      <selection activeCell="B4" sqref="B4"/>
    </sheetView>
  </sheetViews>
  <sheetFormatPr defaultRowHeight="12.75"/>
  <cols>
    <col min="1" max="1" width="16.28515625" style="14" bestFit="1" customWidth="1"/>
    <col min="2" max="2" width="5.5703125" style="14" bestFit="1" customWidth="1"/>
    <col min="3" max="3" width="4.28515625" style="14" bestFit="1" customWidth="1"/>
    <col min="4" max="4" width="2.28515625" style="14" customWidth="1"/>
    <col min="5" max="5" width="19.140625" style="14" bestFit="1" customWidth="1"/>
    <col min="6" max="6" width="5.5703125" style="14" bestFit="1" customWidth="1"/>
    <col min="7" max="7" width="3.28515625" style="14" bestFit="1" customWidth="1"/>
    <col min="8" max="16384" width="9.140625" style="14"/>
  </cols>
  <sheetData>
    <row r="1" spans="1:9" ht="18">
      <c r="A1" s="167" t="s">
        <v>200</v>
      </c>
      <c r="B1" s="167"/>
      <c r="C1" s="167"/>
      <c r="D1" s="167"/>
      <c r="E1" s="167"/>
      <c r="F1" s="167"/>
      <c r="G1" s="167"/>
      <c r="H1" s="167"/>
      <c r="I1" s="167"/>
    </row>
    <row r="2" spans="1:9" ht="18">
      <c r="A2" s="53"/>
      <c r="C2" s="66"/>
    </row>
    <row r="3" spans="1:9">
      <c r="A3" s="153"/>
      <c r="B3" s="153"/>
      <c r="C3" s="153"/>
      <c r="E3" s="149"/>
      <c r="F3" s="149"/>
      <c r="G3" s="149"/>
    </row>
    <row r="4" spans="1:9">
      <c r="A4" s="54" t="s">
        <v>201</v>
      </c>
      <c r="B4" s="55">
        <v>10</v>
      </c>
      <c r="C4" s="56" t="s">
        <v>9</v>
      </c>
      <c r="D4" s="67"/>
      <c r="E4" s="75"/>
      <c r="F4" s="95"/>
      <c r="G4" s="68"/>
    </row>
    <row r="5" spans="1:9" ht="15.75">
      <c r="A5" s="71" t="s">
        <v>202</v>
      </c>
      <c r="B5" s="91">
        <v>308.76035219257182</v>
      </c>
      <c r="C5" s="56" t="s">
        <v>13</v>
      </c>
      <c r="D5" s="67"/>
      <c r="E5" s="135"/>
      <c r="F5" s="150"/>
      <c r="G5" s="68"/>
    </row>
    <row r="6" spans="1:9" ht="15.75">
      <c r="A6" s="71" t="s">
        <v>203</v>
      </c>
      <c r="B6" s="69">
        <v>300</v>
      </c>
      <c r="C6" s="92" t="s">
        <v>13</v>
      </c>
      <c r="E6" s="135"/>
      <c r="F6" s="150"/>
      <c r="G6" s="98"/>
    </row>
    <row r="7" spans="1:9" ht="15.75">
      <c r="A7" s="71" t="s">
        <v>204</v>
      </c>
      <c r="B7" s="93">
        <f>Vacmin^2*Peff/(2*Lboost*(1+Ltol/100)*0.000001*Pout)*(1-Vacmin*SQRT(2)/Vbulk)*0.001</f>
        <v>58.705063394160774</v>
      </c>
      <c r="C7" s="94" t="s">
        <v>8</v>
      </c>
      <c r="E7" s="135"/>
      <c r="F7" s="150"/>
      <c r="G7" s="98"/>
    </row>
    <row r="8" spans="1:9" ht="15.75">
      <c r="A8" s="71" t="s">
        <v>205</v>
      </c>
      <c r="B8" s="93">
        <f>Vacmax^2*Peff/(2*Lboost*(1+Ltol/100)*0.000001*Pout)*(1-Vacmax*SQRT(2)/Vbulk)*0.001</f>
        <v>51.460058698762083</v>
      </c>
      <c r="C8" s="94" t="s">
        <v>8</v>
      </c>
      <c r="E8" s="135"/>
      <c r="F8" s="62"/>
      <c r="G8" s="98"/>
    </row>
    <row r="9" spans="1:9">
      <c r="C9" s="63"/>
      <c r="E9" s="135"/>
      <c r="F9" s="151"/>
      <c r="G9" s="98"/>
    </row>
    <row r="10" spans="1:9">
      <c r="A10" s="67"/>
      <c r="C10" s="66"/>
      <c r="E10" s="135"/>
      <c r="F10" s="151"/>
      <c r="G10" s="98"/>
    </row>
    <row r="11" spans="1:9">
      <c r="D11" s="67"/>
    </row>
    <row r="12" spans="1:9" ht="12.75" hidden="1" customHeight="1">
      <c r="A12" s="47" t="s">
        <v>255</v>
      </c>
      <c r="B12" s="48">
        <f>Dmax2/100</f>
        <v>0</v>
      </c>
      <c r="D12" s="67"/>
    </row>
    <row r="13" spans="1:9" ht="12.75" hidden="1" customHeight="1">
      <c r="A13" s="47" t="s">
        <v>264</v>
      </c>
      <c r="B13" s="48">
        <f>Ftol/100</f>
        <v>0</v>
      </c>
    </row>
  </sheetData>
  <sheetProtection password="C582" sheet="1" objects="1" scenarios="1" selectLockedCells="1"/>
  <customSheetViews>
    <customSheetView guid="{5C4C4562-8D75-44A5-9C48-D483FC9D01A7}">
      <selection activeCell="F23" sqref="F23"/>
      <pageMargins left="0.75" right="0.75" top="1" bottom="1" header="0.5" footer="0.5"/>
      <pageSetup orientation="portrait" r:id="rId1"/>
      <headerFooter alignWithMargins="0"/>
    </customSheetView>
  </customSheetViews>
  <mergeCells count="1">
    <mergeCell ref="A1:I1"/>
  </mergeCells>
  <phoneticPr fontId="5" type="noConversion"/>
  <conditionalFormatting sqref="B7:B8">
    <cfRule type="cellIs" dxfId="33" priority="5" stopIfTrue="1" operator="greaterThanOrEqual">
      <formula>fswmin</formula>
    </cfRule>
    <cfRule type="cellIs" dxfId="32" priority="6" stopIfTrue="1" operator="lessThan">
      <formula>fswmin</formula>
    </cfRule>
  </conditionalFormatting>
  <pageMargins left="0.75" right="0.75" top="1" bottom="1" header="0.5" footer="0.5"/>
  <pageSetup orientation="portrait" r:id="rId2"/>
  <headerFooter alignWithMargins="0"/>
  <legacyDrawing r:id="rId3"/>
  <controls>
    <control shapeId="5126" r:id="rId4" name="CommandButton3"/>
    <control shapeId="5125" r:id="rId5" name="CommandButton2"/>
  </controls>
</worksheet>
</file>

<file path=xl/worksheets/sheet4.xml><?xml version="1.0" encoding="utf-8"?>
<worksheet xmlns="http://schemas.openxmlformats.org/spreadsheetml/2006/main" xmlns:r="http://schemas.openxmlformats.org/officeDocument/2006/relationships">
  <sheetPr codeName="Sheet4"/>
  <dimension ref="A1:I39"/>
  <sheetViews>
    <sheetView workbookViewId="0">
      <selection activeCell="G4" sqref="G4"/>
    </sheetView>
  </sheetViews>
  <sheetFormatPr defaultRowHeight="12.75"/>
  <cols>
    <col min="1" max="1" width="19.5703125" style="14" bestFit="1" customWidth="1"/>
    <col min="2" max="2" width="6.5703125" style="14" bestFit="1" customWidth="1"/>
    <col min="3" max="3" width="6" style="14" bestFit="1" customWidth="1"/>
    <col min="4" max="4" width="5.5703125" style="14" bestFit="1" customWidth="1"/>
    <col min="5" max="5" width="2.85546875" style="14" bestFit="1" customWidth="1"/>
    <col min="6" max="6" width="19.5703125" style="14" bestFit="1" customWidth="1"/>
    <col min="7" max="7" width="7.5703125" style="14" bestFit="1" customWidth="1"/>
    <col min="8" max="8" width="4.140625" style="14" bestFit="1" customWidth="1"/>
    <col min="9" max="9" width="7.85546875" style="14" bestFit="1" customWidth="1"/>
    <col min="10" max="16384" width="9.140625" style="14"/>
  </cols>
  <sheetData>
    <row r="1" spans="1:9" ht="18">
      <c r="A1" s="167" t="s">
        <v>268</v>
      </c>
      <c r="B1" s="167"/>
      <c r="C1" s="167"/>
      <c r="D1" s="167"/>
      <c r="E1" s="167"/>
      <c r="F1" s="167"/>
      <c r="G1" s="167"/>
      <c r="H1" s="167"/>
      <c r="I1" s="167"/>
    </row>
    <row r="2" spans="1:9" ht="18">
      <c r="A2" s="53"/>
      <c r="C2" s="66"/>
    </row>
    <row r="3" spans="1:9">
      <c r="A3" s="80" t="s">
        <v>211</v>
      </c>
      <c r="F3" s="68" t="s">
        <v>210</v>
      </c>
      <c r="G3" s="95"/>
      <c r="H3" s="68"/>
    </row>
    <row r="4" spans="1:9" ht="15.75">
      <c r="A4" s="99" t="s">
        <v>279</v>
      </c>
      <c r="B4" s="97">
        <f>2*Lboost*Poutmax/(Peff*Vacmin^2)</f>
        <v>11.915149691590191</v>
      </c>
      <c r="C4" s="98" t="s">
        <v>16</v>
      </c>
      <c r="D4" s="99"/>
      <c r="F4" s="96" t="s">
        <v>52</v>
      </c>
      <c r="G4" s="100">
        <v>1</v>
      </c>
      <c r="H4" s="101" t="s">
        <v>9</v>
      </c>
    </row>
    <row r="5" spans="1:9" ht="15.75">
      <c r="A5" s="99" t="s">
        <v>280</v>
      </c>
      <c r="B5" s="97">
        <f>2*Lboost*Poutmax/(Peff*170^2)</f>
        <v>2.9787874228975477</v>
      </c>
      <c r="C5" s="98" t="s">
        <v>16</v>
      </c>
      <c r="D5" s="99"/>
      <c r="F5" s="99" t="s">
        <v>77</v>
      </c>
      <c r="G5" s="102">
        <v>100</v>
      </c>
      <c r="H5" s="101" t="s">
        <v>33</v>
      </c>
    </row>
    <row r="6" spans="1:9" ht="15.75">
      <c r="A6" s="99"/>
      <c r="B6" s="119"/>
      <c r="C6" s="101"/>
      <c r="D6" s="99"/>
      <c r="F6" s="99" t="s">
        <v>230</v>
      </c>
      <c r="G6" s="104">
        <f>(Vbulk-Vref)/Idivider</f>
        <v>3.9750000000000001</v>
      </c>
      <c r="H6" s="101" t="s">
        <v>21</v>
      </c>
    </row>
    <row r="7" spans="1:9" ht="15.75">
      <c r="A7" s="99"/>
      <c r="C7" s="101"/>
      <c r="D7" s="99"/>
      <c r="F7" s="99" t="s">
        <v>231</v>
      </c>
      <c r="G7" s="106">
        <v>4.2809999999999997</v>
      </c>
      <c r="H7" s="101" t="s">
        <v>21</v>
      </c>
    </row>
    <row r="8" spans="1:9" ht="15.75">
      <c r="F8" s="99" t="s">
        <v>232</v>
      </c>
      <c r="G8" s="104">
        <f>1000*Vref/((Vbulk-Vref)/Rpfbupper-Ipfb)</f>
        <v>26.982647907265914</v>
      </c>
      <c r="H8" s="101" t="s">
        <v>18</v>
      </c>
    </row>
    <row r="9" spans="1:9" ht="15.75">
      <c r="A9" s="80" t="s">
        <v>212</v>
      </c>
      <c r="F9" s="99" t="s">
        <v>233</v>
      </c>
      <c r="G9" s="107">
        <v>27</v>
      </c>
      <c r="H9" s="101" t="s">
        <v>18</v>
      </c>
    </row>
    <row r="10" spans="1:9">
      <c r="A10" s="96" t="s">
        <v>52</v>
      </c>
      <c r="B10" s="100">
        <v>1</v>
      </c>
      <c r="C10" s="101" t="s">
        <v>9</v>
      </c>
    </row>
    <row r="11" spans="1:9" ht="15.75">
      <c r="A11" s="99" t="s">
        <v>215</v>
      </c>
      <c r="B11" s="103">
        <v>18.927605759033849</v>
      </c>
      <c r="C11" s="101" t="s">
        <v>18</v>
      </c>
      <c r="F11" s="108" t="s">
        <v>218</v>
      </c>
    </row>
    <row r="12" spans="1:9" ht="15.75">
      <c r="A12" s="99" t="s">
        <v>216</v>
      </c>
      <c r="B12" s="107">
        <v>49.9</v>
      </c>
      <c r="C12" s="101" t="s">
        <v>18</v>
      </c>
      <c r="F12" s="99" t="s">
        <v>80</v>
      </c>
      <c r="G12" s="109">
        <f>2*SQRT(2)*Plimit/(Peff*Vacmin)</f>
        <v>4.7743271159398608</v>
      </c>
      <c r="H12" s="101" t="s">
        <v>12</v>
      </c>
    </row>
    <row r="13" spans="1:9" ht="15.75">
      <c r="A13" s="99" t="s">
        <v>76</v>
      </c>
      <c r="B13" s="110">
        <f>Vzcdoffmax/(Rzcd*(1-Rzcdtol/100))</f>
        <v>0.5663687925310964</v>
      </c>
      <c r="C13" s="98" t="s">
        <v>32</v>
      </c>
      <c r="F13" s="99" t="s">
        <v>52</v>
      </c>
      <c r="G13" s="100">
        <v>1</v>
      </c>
      <c r="H13" s="101" t="s">
        <v>9</v>
      </c>
    </row>
    <row r="14" spans="1:9" ht="15.75">
      <c r="A14" s="99" t="s">
        <v>75</v>
      </c>
      <c r="B14" s="110">
        <f>Vzcdonmax/(Rzcd*(1-Rzcdtol/100))</f>
        <v>-0.75862147330797003</v>
      </c>
      <c r="C14" s="67" t="s">
        <v>32</v>
      </c>
      <c r="F14" s="99" t="s">
        <v>219</v>
      </c>
      <c r="G14" s="97">
        <f>1000*Vocpmin/Iocp/(1+Rpsensetol/100)</f>
        <v>93.320910703400116</v>
      </c>
      <c r="H14" s="101" t="s">
        <v>145</v>
      </c>
    </row>
    <row r="15" spans="1:9" ht="15.75">
      <c r="F15" s="99" t="s">
        <v>220</v>
      </c>
      <c r="G15" s="105">
        <v>93.320910703400116</v>
      </c>
      <c r="H15" s="101" t="s">
        <v>145</v>
      </c>
    </row>
    <row r="16" spans="1:9">
      <c r="A16" s="80" t="s">
        <v>27</v>
      </c>
      <c r="B16" s="111" t="s">
        <v>222</v>
      </c>
      <c r="C16" s="111" t="s">
        <v>223</v>
      </c>
      <c r="D16" s="111" t="s">
        <v>224</v>
      </c>
      <c r="E16" s="67"/>
    </row>
    <row r="17" spans="1:8" ht="15.75">
      <c r="A17" s="113" t="s">
        <v>23</v>
      </c>
      <c r="B17" s="114">
        <f>Pout/(Cbulk*(1+Cbulktol/100)*0.000001*2*PI()*fmax*Vbulk)</f>
        <v>6.3156723449164822</v>
      </c>
      <c r="C17" s="103"/>
      <c r="D17" s="114">
        <f>Pout/(Cbulk*(1-Cbulktol/100)*0.000001*2*PI()*fmin*Vbulk)</f>
        <v>12.698532693502287</v>
      </c>
      <c r="E17" s="67" t="s">
        <v>6</v>
      </c>
      <c r="F17" s="80" t="s">
        <v>213</v>
      </c>
    </row>
    <row r="18" spans="1:8" ht="15.75">
      <c r="A18" s="99" t="s">
        <v>225</v>
      </c>
      <c r="B18" s="114">
        <f>Vrefmin*(Rpfbupper*(1-Rfbtol/100)*1000+Rpfblower*(1+Rfbtol/100))/(Rpfblower*(1+Rfbtol/100))+Ipfbmin*Rpfbupper*(1-Rfbtol/100)-Vbulkripplemax/2</f>
        <v>375.51729661859537</v>
      </c>
      <c r="C18" s="114">
        <f>Vref*(Rpfbupper*1000+Rpfblower)/Rpfblower+Ipfb*Rpfbupper</f>
        <v>399.74508888888892</v>
      </c>
      <c r="D18" s="114">
        <f>Vrefmax*(Rpfbupper*(1+Rfbtol/100)*1000+Rpfblower*(1-Rfbtol/100))/(Rpfblower*(1-Rfbtol/100))+Ipfbmax*Rpfbupper*(1+Rfbtol/100)+Vbulkripplemax/2</f>
        <v>421.70207400051095</v>
      </c>
      <c r="E18" s="67" t="s">
        <v>6</v>
      </c>
      <c r="F18" s="96" t="s">
        <v>51</v>
      </c>
      <c r="G18" s="100">
        <v>20</v>
      </c>
      <c r="H18" s="98" t="s">
        <v>9</v>
      </c>
    </row>
    <row r="19" spans="1:8" ht="15.75">
      <c r="A19" s="99" t="s">
        <v>83</v>
      </c>
      <c r="B19" s="97">
        <f>1000*Vocpmin/(Rpsense*(1+Rpsensetol/100))</f>
        <v>4.7743271159398608</v>
      </c>
      <c r="C19" s="112">
        <f>1000*Vocp/Rpsense</f>
        <v>5.3578559856658439</v>
      </c>
      <c r="D19" s="112">
        <f>1000*Vocpmax/(Rpsense*(1-Rpsensetol/100))</f>
        <v>5.9531733174064927</v>
      </c>
      <c r="E19" s="101" t="s">
        <v>12</v>
      </c>
      <c r="F19" s="99" t="s">
        <v>214</v>
      </c>
      <c r="G19" s="103">
        <f>Pout/(Vripple*0.000001*2*PI()*fmin*Vbulk)/(1-Cbulktol/100)</f>
        <v>63.492663467511434</v>
      </c>
      <c r="H19" s="98" t="s">
        <v>22</v>
      </c>
    </row>
    <row r="20" spans="1:8" ht="15.75">
      <c r="A20" s="99" t="s">
        <v>84</v>
      </c>
      <c r="B20" s="115">
        <f>Iocpmin*Peff*Vacmin/(2*SQRT(2))</f>
        <v>132</v>
      </c>
      <c r="C20" s="115">
        <f>Iocptyp*Peff*Vacmin/(2*SQRT(2))</f>
        <v>148.13333333333333</v>
      </c>
      <c r="D20" s="115">
        <f>Iocpmax*Peff*Vacmin/(2*SQRT(2))</f>
        <v>164.59259259259258</v>
      </c>
      <c r="E20" s="101" t="s">
        <v>11</v>
      </c>
      <c r="F20" s="99" t="s">
        <v>217</v>
      </c>
      <c r="G20" s="105">
        <v>100</v>
      </c>
      <c r="H20" s="98" t="s">
        <v>22</v>
      </c>
    </row>
    <row r="21" spans="1:8" ht="15.75">
      <c r="A21" s="99" t="s">
        <v>276</v>
      </c>
      <c r="B21" s="103">
        <f>Vovpmin*(Rpfbupper*(1-Rfbtol/100)*1000+Rpfblower*(1+Rfbtol/100))/(Rpfblower*(1+Rfbtol/100))+Ipfbmin*Rpfbupper*(1-Rfbtol/100)</f>
        <v>397.13274910396035</v>
      </c>
      <c r="C21" s="103">
        <f>Vovp*(Rpfbupper*1000+Rpfblower)/Rpfblower+Ipfb*Rpfbupper</f>
        <v>419.68953333333332</v>
      </c>
      <c r="D21" s="103">
        <f>Vovpmax*(Rpfbupper*(1+Rfbtol/100)*1000+Rpfblower*(1-Rfbtol/100))/(Rpfblower*(1-Rfbtol/100))+Ipfbmax*Rpfbupper*(1+Rfbtol/100)</f>
        <v>440.15723324298534</v>
      </c>
      <c r="E21" s="67" t="s">
        <v>6</v>
      </c>
      <c r="F21" s="99" t="s">
        <v>144</v>
      </c>
      <c r="G21" s="100">
        <v>250</v>
      </c>
      <c r="H21" s="101" t="s">
        <v>145</v>
      </c>
    </row>
    <row r="22" spans="1:8">
      <c r="A22" s="99" t="s">
        <v>277</v>
      </c>
      <c r="B22" s="103">
        <f>Vovpmin*(Rpfbupper*(1-Rfbtol/100)*1000+Rpfblower*(1+Rfbtol/100))/(Rpfblower*(1+Rfbtol/100))+Ipfbmin*Rpfbupper*(1-Rfbtol/100)</f>
        <v>397.13274910396035</v>
      </c>
      <c r="C22" s="103">
        <f>Vsovp*(Rpfbupper*1000+Rpfblower)/Rpfblower+Ipfb*Rpfbupper</f>
        <v>427.66731111111108</v>
      </c>
      <c r="D22" s="103">
        <f>Vsovpmax*(Rpfbupper*(1+Rfbtol/100)*1000+Rpfblower*(1-Rfbtol/100))/(Rpfblower*(1-Rfbtol/100))+Ipfbmax*Rpfbupper*(1+Rfbtol/100)</f>
        <v>448.42537510606053</v>
      </c>
      <c r="E22" s="67" t="s">
        <v>6</v>
      </c>
    </row>
    <row r="23" spans="1:8">
      <c r="A23" s="99" t="s">
        <v>226</v>
      </c>
      <c r="B23" s="103">
        <f>Vuvpmin/1000*(Rpfbupper*(1-Rfbtol/100)*1000+Rpfblower*(1+Rfbtol/100))/(Rpfblower*(1+Rfbtol/100))+Ipfbmin*Rpfbupper*(1-Rfbtol/100)</f>
        <v>44.790424351485143</v>
      </c>
      <c r="C23" s="103">
        <f>VUVP/1000*(Rpfbupper*1000+Rpfblower)/Rpfblower+Ipfb*Rpfbupper</f>
        <v>48.722866666666661</v>
      </c>
      <c r="D23" s="103">
        <f>Vuvpmax/1000*(Rpfbupper*(1+Rfbtol/100)*1000+Rpfblower*(1-Rfbtol/100))/(Rpfblower*(1-Rfbtol/100))+Ipfbmax*Rpfbupper*(1+Rfbtol/100)</f>
        <v>53.214704398989895</v>
      </c>
      <c r="E23" s="67" t="s">
        <v>6</v>
      </c>
    </row>
    <row r="24" spans="1:8">
      <c r="A24" s="99" t="s">
        <v>278</v>
      </c>
      <c r="B24" s="103">
        <f>Vsuvpmin*(Rpfbupper*(1-Rfbtol/100)*1000+Rpfblower*(1+Rfbtol/100))/(Rpfblower*(1+Rfbtol/100))+Ipfbmin*Rpfbupper*(1-Rfbtol/100)</f>
        <v>282.6363530643564</v>
      </c>
      <c r="C24" s="103">
        <f>Vsuvp*(Rpfbupper*1000+Rpfblower)/Rpfblower+Ipfb*Rpfbupper</f>
        <v>304.01175555555557</v>
      </c>
      <c r="D24" s="103">
        <f>Vsuvpmax*(Rpfbupper*(1+Rfbtol/100)*1000+Rpfblower*(1-Rfbtol/100))/(Rpfblower*(1-Rfbtol/100))+Ipfbmax*Rpfbupper*(1+Rfbtol/100)</f>
        <v>324.40324715993262</v>
      </c>
      <c r="E24" s="67" t="s">
        <v>6</v>
      </c>
    </row>
    <row r="28" spans="1:8">
      <c r="G28" s="115"/>
    </row>
    <row r="30" spans="1:8">
      <c r="G30" s="57" t="s">
        <v>167</v>
      </c>
    </row>
    <row r="34" spans="1:3">
      <c r="A34" s="99"/>
    </row>
    <row r="35" spans="1:3">
      <c r="A35" s="99"/>
      <c r="C35" s="101"/>
    </row>
    <row r="36" spans="1:3">
      <c r="A36" s="99"/>
      <c r="C36" s="101"/>
    </row>
    <row r="37" spans="1:3">
      <c r="A37" s="99"/>
    </row>
    <row r="38" spans="1:3">
      <c r="A38" s="99"/>
      <c r="C38" s="101"/>
    </row>
    <row r="39" spans="1:3">
      <c r="A39" s="99"/>
      <c r="C39" s="101"/>
    </row>
  </sheetData>
  <sheetProtection password="C582" sheet="1" objects="1" scenarios="1" selectLockedCells="1"/>
  <customSheetViews>
    <customSheetView guid="{5C4C4562-8D75-44A5-9C48-D483FC9D01A7}">
      <selection activeCell="J31" sqref="J31"/>
      <pageMargins left="0.7" right="0.7" top="0.75" bottom="0.75" header="0.3" footer="0.3"/>
    </customSheetView>
  </customSheetViews>
  <mergeCells count="1">
    <mergeCell ref="A1:I1"/>
  </mergeCells>
  <conditionalFormatting sqref="B18:D18">
    <cfRule type="cellIs" dxfId="31" priority="25" stopIfTrue="1" operator="between">
      <formula>Vbulkmin</formula>
      <formula>Vbulkmax</formula>
    </cfRule>
    <cfRule type="cellIs" dxfId="30" priority="26" stopIfTrue="1" operator="notBetween">
      <formula>Vbulkmin</formula>
      <formula>Vbulkmax</formula>
    </cfRule>
  </conditionalFormatting>
  <conditionalFormatting sqref="B13">
    <cfRule type="cellIs" dxfId="29" priority="13" stopIfTrue="1" operator="lessThanOrEqual">
      <formula>Iclposmin</formula>
    </cfRule>
    <cfRule type="cellIs" dxfId="28" priority="14" stopIfTrue="1" operator="greaterThan">
      <formula>Iclposmin</formula>
    </cfRule>
  </conditionalFormatting>
  <conditionalFormatting sqref="B14">
    <cfRule type="cellIs" dxfId="27" priority="11" stopIfTrue="1" operator="greaterThanOrEqual">
      <formula>Iclnegmin</formula>
    </cfRule>
    <cfRule type="cellIs" dxfId="26" priority="12" stopIfTrue="1" operator="lessThan">
      <formula>Iclnegmin</formula>
    </cfRule>
  </conditionalFormatting>
  <conditionalFormatting sqref="B17 D17">
    <cfRule type="cellIs" dxfId="25" priority="9" stopIfTrue="1" operator="lessThanOrEqual">
      <formula>Vripple</formula>
    </cfRule>
    <cfRule type="cellIs" dxfId="24" priority="10" stopIfTrue="1" operator="greaterThan">
      <formula>Vripple</formula>
    </cfRule>
  </conditionalFormatting>
  <conditionalFormatting sqref="B19:D19">
    <cfRule type="cellIs" dxfId="23" priority="5" stopIfTrue="1" operator="greaterThanOrEqual">
      <formula>Iocpmin</formula>
    </cfRule>
    <cfRule type="cellIs" dxfId="22" priority="6" stopIfTrue="1" operator="lessThan">
      <formula>Iocpmin</formula>
    </cfRule>
  </conditionalFormatting>
  <conditionalFormatting sqref="B20:D20">
    <cfRule type="cellIs" dxfId="21" priority="3" stopIfTrue="1" operator="greaterThanOrEqual">
      <formula>Plimit</formula>
    </cfRule>
    <cfRule type="cellIs" dxfId="20" priority="4" stopIfTrue="1" operator="lessThan">
      <formula>Plimit</formula>
    </cfRule>
  </conditionalFormatting>
  <pageMargins left="0.7" right="0.7" top="0.75" bottom="0.75" header="0.3" footer="0.3"/>
  <legacyDrawing r:id="rId1"/>
  <controls>
    <control shapeId="45098" r:id="rId2" name="CommandButton2"/>
    <control shapeId="45099" r:id="rId3" name="CommandButton3"/>
  </controls>
</worksheet>
</file>

<file path=xl/worksheets/sheet5.xml><?xml version="1.0" encoding="utf-8"?>
<worksheet xmlns="http://schemas.openxmlformats.org/spreadsheetml/2006/main" xmlns:r="http://schemas.openxmlformats.org/officeDocument/2006/relationships">
  <sheetPr codeName="Sheet18"/>
  <dimension ref="A1:G27"/>
  <sheetViews>
    <sheetView zoomScaleNormal="100" workbookViewId="0">
      <selection activeCell="B6" sqref="B6"/>
    </sheetView>
  </sheetViews>
  <sheetFormatPr defaultRowHeight="12.75"/>
  <cols>
    <col min="1" max="3" width="9.140625" style="14"/>
    <col min="4" max="4" width="6.42578125" style="14" bestFit="1" customWidth="1"/>
    <col min="5" max="5" width="9.42578125" style="14" bestFit="1" customWidth="1"/>
    <col min="6" max="6" width="12.42578125" style="14" bestFit="1" customWidth="1"/>
    <col min="7" max="7" width="9.7109375" style="14" bestFit="1" customWidth="1"/>
    <col min="8" max="16384" width="9.140625" style="14"/>
  </cols>
  <sheetData>
    <row r="1" spans="1:7" ht="18">
      <c r="A1" s="53" t="s">
        <v>269</v>
      </c>
      <c r="C1" s="66"/>
    </row>
    <row r="2" spans="1:7" ht="18">
      <c r="A2" s="53"/>
      <c r="C2" s="66"/>
    </row>
    <row r="3" spans="1:7">
      <c r="A3" s="67"/>
      <c r="C3" s="66"/>
      <c r="E3" s="67" t="s">
        <v>228</v>
      </c>
      <c r="F3" s="67" t="s">
        <v>227</v>
      </c>
      <c r="G3" s="67" t="s">
        <v>229</v>
      </c>
    </row>
    <row r="4" spans="1:7" ht="15.75">
      <c r="A4" s="99" t="s">
        <v>142</v>
      </c>
      <c r="B4" s="100">
        <v>150</v>
      </c>
      <c r="C4" s="101" t="s">
        <v>1</v>
      </c>
      <c r="D4" s="99" t="s">
        <v>88</v>
      </c>
      <c r="E4" s="114">
        <f>'Step 4 Calc'!B37</f>
        <v>3.2111111111111126</v>
      </c>
      <c r="F4" s="114">
        <f>'Step 4 Calc'!B19</f>
        <v>10</v>
      </c>
      <c r="G4" s="114">
        <f>'Step 4 Calc'!D37</f>
        <v>7.8027777777777789</v>
      </c>
    </row>
    <row r="5" spans="1:7" ht="15.75">
      <c r="A5" s="99" t="s">
        <v>143</v>
      </c>
      <c r="B5" s="105">
        <v>120</v>
      </c>
      <c r="C5" s="101" t="s">
        <v>11</v>
      </c>
      <c r="D5" s="99" t="s">
        <v>92</v>
      </c>
      <c r="E5" s="114">
        <f>'Step 4 Calc'!B38</f>
        <v>80.746091552255194</v>
      </c>
      <c r="F5" s="114">
        <f>'Step 4 Calc'!B20</f>
        <v>63.096962941853164</v>
      </c>
      <c r="G5" s="114">
        <f>'Step 4 Calc'!D38</f>
        <v>68.400915941750554</v>
      </c>
    </row>
    <row r="6" spans="1:7" ht="15.75">
      <c r="A6" s="99" t="s">
        <v>88</v>
      </c>
      <c r="B6" s="100">
        <v>10</v>
      </c>
      <c r="C6" s="67" t="s">
        <v>4</v>
      </c>
    </row>
    <row r="7" spans="1:7">
      <c r="A7" s="99" t="s">
        <v>92</v>
      </c>
      <c r="B7" s="100">
        <v>60</v>
      </c>
      <c r="C7" s="67" t="s">
        <v>91</v>
      </c>
      <c r="D7" s="116"/>
    </row>
    <row r="8" spans="1:7">
      <c r="D8" s="116"/>
    </row>
    <row r="9" spans="1:7" ht="15.75">
      <c r="A9" s="99" t="s">
        <v>93</v>
      </c>
      <c r="B9" s="107">
        <v>8.5483612012248464</v>
      </c>
      <c r="C9" s="67" t="s">
        <v>22</v>
      </c>
    </row>
    <row r="10" spans="1:7" ht="15.75">
      <c r="A10" s="99" t="s">
        <v>94</v>
      </c>
      <c r="B10" s="107">
        <v>7.7888289701212674</v>
      </c>
      <c r="C10" s="101" t="s">
        <v>18</v>
      </c>
    </row>
    <row r="11" spans="1:7" ht="15.75">
      <c r="A11" s="99" t="s">
        <v>95</v>
      </c>
      <c r="B11" s="105">
        <v>1179.9056398041885</v>
      </c>
      <c r="C11" s="67" t="s">
        <v>137</v>
      </c>
    </row>
    <row r="13" spans="1:7">
      <c r="A13" s="67"/>
      <c r="B13" s="63"/>
    </row>
    <row r="14" spans="1:7">
      <c r="A14" s="99"/>
      <c r="D14" s="67"/>
    </row>
    <row r="15" spans="1:7">
      <c r="A15" s="99"/>
      <c r="D15" s="67"/>
    </row>
    <row r="16" spans="1:7">
      <c r="A16" s="99"/>
      <c r="B16" s="114"/>
      <c r="D16" s="67"/>
    </row>
    <row r="17" spans="1:7">
      <c r="A17" s="99"/>
      <c r="B17" s="114"/>
      <c r="D17" s="67"/>
    </row>
    <row r="18" spans="1:7">
      <c r="A18" s="99"/>
      <c r="B18" s="114"/>
      <c r="D18" s="67"/>
    </row>
    <row r="19" spans="1:7">
      <c r="A19" s="99"/>
      <c r="B19" s="114"/>
      <c r="D19" s="67"/>
    </row>
    <row r="21" spans="1:7">
      <c r="G21" s="14">
        <v>250</v>
      </c>
    </row>
    <row r="23" spans="1:7">
      <c r="A23" s="57"/>
    </row>
    <row r="24" spans="1:7">
      <c r="A24" s="57"/>
    </row>
    <row r="25" spans="1:7">
      <c r="A25" s="57"/>
    </row>
    <row r="26" spans="1:7">
      <c r="A26" s="57"/>
    </row>
    <row r="27" spans="1:7">
      <c r="A27" s="57"/>
    </row>
  </sheetData>
  <sheetProtection password="C582" sheet="1" objects="1" scenarios="1" selectLockedCells="1"/>
  <customSheetViews>
    <customSheetView guid="{5C4C4562-8D75-44A5-9C48-D483FC9D01A7}">
      <selection activeCell="E10" sqref="E10"/>
      <pageMargins left="0.7" right="0.7" top="0.75" bottom="0.75" header="0.3" footer="0.3"/>
    </customSheetView>
  </customSheetViews>
  <conditionalFormatting sqref="E4 G4">
    <cfRule type="cellIs" dxfId="19" priority="25" stopIfTrue="1" operator="lessThanOrEqual">
      <formula>20</formula>
    </cfRule>
    <cfRule type="cellIs" dxfId="18" priority="26" stopIfTrue="1" operator="greaterThan">
      <formula>20</formula>
    </cfRule>
  </conditionalFormatting>
  <conditionalFormatting sqref="E5 G5">
    <cfRule type="cellIs" dxfId="17" priority="23" stopIfTrue="1" operator="greaterThanOrEqual">
      <formula>45</formula>
    </cfRule>
    <cfRule type="cellIs" dxfId="16" priority="24" stopIfTrue="1" operator="lessThan">
      <formula>45</formula>
    </cfRule>
  </conditionalFormatting>
  <conditionalFormatting sqref="F5">
    <cfRule type="cellIs" dxfId="15" priority="1" stopIfTrue="1" operator="greaterThanOrEqual">
      <formula>45</formula>
    </cfRule>
    <cfRule type="cellIs" dxfId="14" priority="2" stopIfTrue="1" operator="lessThan">
      <formula>45</formula>
    </cfRule>
  </conditionalFormatting>
  <conditionalFormatting sqref="F5">
    <cfRule type="cellIs" dxfId="13" priority="7" stopIfTrue="1" operator="greaterThanOrEqual">
      <formula>45</formula>
    </cfRule>
    <cfRule type="cellIs" dxfId="12" priority="8" stopIfTrue="1" operator="lessThan">
      <formula>45</formula>
    </cfRule>
  </conditionalFormatting>
  <conditionalFormatting sqref="F4">
    <cfRule type="cellIs" dxfId="11" priority="5" stopIfTrue="1" operator="lessThanOrEqual">
      <formula>20</formula>
    </cfRule>
    <cfRule type="cellIs" dxfId="10" priority="6" stopIfTrue="1" operator="greaterThan">
      <formula>20</formula>
    </cfRule>
  </conditionalFormatting>
  <conditionalFormatting sqref="G4">
    <cfRule type="cellIs" dxfId="9" priority="3" stopIfTrue="1" operator="lessThanOrEqual">
      <formula>20</formula>
    </cfRule>
    <cfRule type="cellIs" dxfId="8" priority="4" stopIfTrue="1" operator="greaterThan">
      <formula>20</formula>
    </cfRule>
  </conditionalFormatting>
  <pageMargins left="0.7" right="0.7" top="0.75" bottom="0.75" header="0.3" footer="0.3"/>
  <drawing r:id="rId1"/>
  <legacyDrawing r:id="rId2"/>
  <controls>
    <control shapeId="1030" r:id="rId3" name="CommandButton3"/>
    <control shapeId="1029" r:id="rId4" name="CommandButton2"/>
  </controls>
</worksheet>
</file>

<file path=xl/worksheets/sheet6.xml><?xml version="1.0" encoding="utf-8"?>
<worksheet xmlns="http://schemas.openxmlformats.org/spreadsheetml/2006/main" xmlns:r="http://schemas.openxmlformats.org/officeDocument/2006/relationships">
  <sheetPr codeName="Sheet13"/>
  <dimension ref="A1:T39"/>
  <sheetViews>
    <sheetView workbookViewId="0">
      <selection activeCell="C7" sqref="C7"/>
    </sheetView>
  </sheetViews>
  <sheetFormatPr defaultRowHeight="12.75"/>
  <cols>
    <col min="1" max="1" width="8.7109375" style="14" bestFit="1" customWidth="1"/>
    <col min="2" max="2" width="15.140625" style="14" bestFit="1" customWidth="1"/>
    <col min="3" max="3" width="5.5703125" style="14" bestFit="1" customWidth="1"/>
    <col min="4" max="4" width="2.85546875" style="14" bestFit="1" customWidth="1"/>
    <col min="5" max="5" width="2.85546875" style="14" customWidth="1"/>
    <col min="6" max="6" width="12" style="14" bestFit="1" customWidth="1"/>
    <col min="7" max="7" width="15.140625" style="14" bestFit="1" customWidth="1"/>
    <col min="8" max="10" width="4.5703125" style="14" bestFit="1" customWidth="1"/>
    <col min="11" max="11" width="2.85546875" style="14" bestFit="1" customWidth="1"/>
    <col min="12" max="13" width="9.140625" style="14"/>
    <col min="14" max="15" width="12.42578125" style="14" bestFit="1" customWidth="1"/>
    <col min="16" max="16" width="10" style="14" bestFit="1" customWidth="1"/>
    <col min="17" max="17" width="16.7109375" style="14" bestFit="1" customWidth="1"/>
    <col min="18" max="18" width="12.42578125" style="14" bestFit="1" customWidth="1"/>
    <col min="19" max="16384" width="9.140625" style="14"/>
  </cols>
  <sheetData>
    <row r="1" spans="1:20" ht="18">
      <c r="A1" s="53" t="s">
        <v>286</v>
      </c>
      <c r="C1" s="66"/>
    </row>
    <row r="2" spans="1:20" ht="18">
      <c r="A2" s="53"/>
      <c r="C2" s="66"/>
      <c r="Q2" s="63"/>
      <c r="R2" s="63"/>
      <c r="S2" s="63"/>
    </row>
    <row r="3" spans="1:20" ht="16.5" thickBot="1">
      <c r="A3" s="120"/>
      <c r="B3" s="121"/>
      <c r="C3" s="121"/>
      <c r="D3" s="121"/>
      <c r="F3" s="154"/>
      <c r="G3" s="155"/>
      <c r="H3" s="156"/>
      <c r="I3" s="156"/>
      <c r="J3" s="156"/>
      <c r="K3" s="95"/>
      <c r="Q3" s="117"/>
      <c r="R3" s="63"/>
      <c r="S3" s="118"/>
    </row>
    <row r="4" spans="1:20" ht="15.75">
      <c r="A4" s="171" t="s">
        <v>250</v>
      </c>
      <c r="B4" s="122" t="s">
        <v>237</v>
      </c>
      <c r="C4" s="123">
        <f>Vrrmpfc</f>
        <v>500</v>
      </c>
      <c r="D4" s="124" t="s">
        <v>6</v>
      </c>
      <c r="F4" s="157"/>
      <c r="G4" s="113"/>
      <c r="H4" s="150"/>
      <c r="I4" s="150"/>
      <c r="J4" s="150"/>
      <c r="K4" s="68"/>
      <c r="Q4" s="126"/>
      <c r="R4" s="127"/>
      <c r="S4" s="118"/>
    </row>
    <row r="5" spans="1:20" ht="15.75">
      <c r="A5" s="172"/>
      <c r="B5" s="125" t="s">
        <v>245</v>
      </c>
      <c r="C5" s="128">
        <f>Iocpmax</f>
        <v>5.9531733174064927</v>
      </c>
      <c r="D5" s="129" t="s">
        <v>12</v>
      </c>
      <c r="F5" s="157"/>
      <c r="G5" s="113"/>
      <c r="H5" s="62"/>
      <c r="I5" s="62"/>
      <c r="J5" s="62"/>
      <c r="K5" s="68"/>
      <c r="Q5" s="63"/>
      <c r="R5" s="63"/>
      <c r="S5" s="63"/>
    </row>
    <row r="6" spans="1:20" ht="15.75">
      <c r="A6" s="172"/>
      <c r="B6" s="125" t="s">
        <v>241</v>
      </c>
      <c r="C6" s="128">
        <f>4/3*SQRT(2*SQRT(2)/PI())*Pout/(Peff*SQRT(Vacmin*Vbulk))</f>
        <v>0.8949324529398307</v>
      </c>
      <c r="D6" s="130" t="s">
        <v>12</v>
      </c>
      <c r="F6" s="157"/>
      <c r="G6" s="113"/>
      <c r="H6" s="134"/>
      <c r="I6" s="134"/>
      <c r="J6" s="134"/>
      <c r="K6" s="98"/>
      <c r="Q6" s="126"/>
      <c r="R6" s="127"/>
      <c r="S6" s="118"/>
    </row>
    <row r="7" spans="1:20" ht="15.75">
      <c r="A7" s="172"/>
      <c r="B7" s="125" t="s">
        <v>238</v>
      </c>
      <c r="C7" s="61">
        <v>0.4</v>
      </c>
      <c r="D7" s="129" t="s">
        <v>6</v>
      </c>
      <c r="F7" s="157"/>
      <c r="G7" s="113"/>
      <c r="H7" s="62"/>
      <c r="I7" s="62"/>
      <c r="J7" s="62"/>
      <c r="K7" s="68"/>
      <c r="Q7" s="126"/>
      <c r="R7" s="63"/>
      <c r="S7" s="63"/>
    </row>
    <row r="8" spans="1:20" ht="16.5" thickBot="1">
      <c r="A8" s="173"/>
      <c r="B8" s="131" t="s">
        <v>248</v>
      </c>
      <c r="C8" s="132">
        <f>Idiodermspfc*Vfwdpfc</f>
        <v>0.35797298117593229</v>
      </c>
      <c r="D8" s="133" t="s">
        <v>11</v>
      </c>
      <c r="F8" s="157"/>
      <c r="G8" s="113"/>
      <c r="H8" s="134"/>
      <c r="I8" s="134"/>
      <c r="J8" s="134"/>
      <c r="K8" s="68"/>
      <c r="Q8" s="63"/>
      <c r="R8" s="63"/>
      <c r="S8" s="63"/>
    </row>
    <row r="9" spans="1:20" ht="15.75">
      <c r="A9" s="171" t="s">
        <v>234</v>
      </c>
      <c r="B9" s="122" t="s">
        <v>236</v>
      </c>
      <c r="C9" s="123">
        <f>Vbvdsspfc</f>
        <v>500</v>
      </c>
      <c r="D9" s="124" t="s">
        <v>6</v>
      </c>
      <c r="F9" s="157"/>
      <c r="G9" s="113"/>
      <c r="H9" s="148"/>
      <c r="I9" s="148"/>
      <c r="J9" s="148"/>
      <c r="K9" s="68"/>
      <c r="Q9" s="113"/>
      <c r="R9" s="95"/>
      <c r="S9" s="95"/>
      <c r="T9" s="95"/>
    </row>
    <row r="10" spans="1:20" ht="15.75">
      <c r="A10" s="172"/>
      <c r="B10" s="125" t="s">
        <v>242</v>
      </c>
      <c r="C10" s="128">
        <f>Iocpmax</f>
        <v>5.9531733174064927</v>
      </c>
      <c r="D10" s="129" t="s">
        <v>12</v>
      </c>
      <c r="F10" s="157"/>
      <c r="G10" s="113"/>
      <c r="H10" s="158"/>
      <c r="I10" s="158"/>
      <c r="J10" s="158"/>
      <c r="K10" s="68"/>
      <c r="Q10" s="95"/>
      <c r="R10" s="95"/>
      <c r="S10" s="95"/>
      <c r="T10" s="95"/>
    </row>
    <row r="11" spans="1:20" ht="15.75">
      <c r="A11" s="172"/>
      <c r="B11" s="125" t="s">
        <v>239</v>
      </c>
      <c r="C11" s="128">
        <f>2/SQRT(3)*Pout/(Peff*Vacmin)*SQRT(1-(8*SQRT(2)*Vacmin/(3*PI()*Vbulk)))</f>
        <v>1.5293112152549788</v>
      </c>
      <c r="D11" s="130" t="s">
        <v>12</v>
      </c>
      <c r="F11" s="157"/>
      <c r="G11" s="113"/>
      <c r="H11" s="158"/>
      <c r="I11" s="158"/>
      <c r="J11" s="158"/>
      <c r="K11" s="98"/>
      <c r="R11" s="134"/>
      <c r="S11" s="135"/>
      <c r="T11" s="68"/>
    </row>
    <row r="12" spans="1:20" ht="15.75">
      <c r="A12" s="172"/>
      <c r="B12" s="125" t="s">
        <v>235</v>
      </c>
      <c r="C12" s="136">
        <v>0.38</v>
      </c>
      <c r="D12" s="130" t="s">
        <v>221</v>
      </c>
      <c r="F12" s="157"/>
      <c r="G12" s="113"/>
      <c r="H12" s="158"/>
      <c r="I12" s="158"/>
      <c r="J12" s="158"/>
      <c r="K12" s="98"/>
      <c r="R12" s="95"/>
      <c r="S12" s="95"/>
      <c r="T12" s="95"/>
    </row>
    <row r="13" spans="1:20" ht="16.5" thickBot="1">
      <c r="A13" s="173"/>
      <c r="B13" s="131" t="s">
        <v>240</v>
      </c>
      <c r="C13" s="132">
        <f>Iswitchrmspfc^2*Rdsonpfc</f>
        <v>0.88874126137977094</v>
      </c>
      <c r="D13" s="133" t="s">
        <v>11</v>
      </c>
      <c r="F13" s="157"/>
      <c r="G13" s="113"/>
      <c r="H13" s="158"/>
      <c r="I13" s="158"/>
      <c r="J13" s="158"/>
      <c r="K13" s="68"/>
      <c r="R13" s="95"/>
      <c r="S13" s="95"/>
      <c r="T13" s="95"/>
    </row>
    <row r="14" spans="1:20" ht="15.75">
      <c r="A14" s="171" t="s">
        <v>251</v>
      </c>
      <c r="B14" s="122" t="s">
        <v>246</v>
      </c>
      <c r="C14" s="137">
        <f>Iocpmax</f>
        <v>5.9531733174064927</v>
      </c>
      <c r="D14" s="124" t="s">
        <v>12</v>
      </c>
      <c r="F14" s="157"/>
      <c r="G14" s="113"/>
      <c r="H14" s="158"/>
      <c r="I14" s="158"/>
      <c r="J14" s="158"/>
      <c r="K14" s="68"/>
      <c r="M14" s="75"/>
      <c r="N14" s="134"/>
      <c r="O14" s="134"/>
      <c r="P14" s="134"/>
    </row>
    <row r="15" spans="1:20" ht="15.75">
      <c r="A15" s="172"/>
      <c r="B15" s="125" t="s">
        <v>243</v>
      </c>
      <c r="C15" s="128">
        <f>2*SQRT(2)*Pout/(Peff*Vacmin)</f>
        <v>4.3402973781271461</v>
      </c>
      <c r="D15" s="130" t="s">
        <v>12</v>
      </c>
      <c r="F15" s="157"/>
      <c r="G15" s="113"/>
      <c r="H15" s="158"/>
      <c r="I15" s="158"/>
      <c r="J15" s="158"/>
      <c r="K15" s="98"/>
    </row>
    <row r="16" spans="1:20" ht="15.75">
      <c r="A16" s="172"/>
      <c r="B16" s="125" t="s">
        <v>244</v>
      </c>
      <c r="C16" s="128">
        <f>2*Pout/(SQRT(3)*Vacmin*Peff)</f>
        <v>1.7719189847251942</v>
      </c>
      <c r="D16" s="129" t="s">
        <v>12</v>
      </c>
      <c r="F16" s="157"/>
      <c r="G16" s="113"/>
      <c r="H16" s="158"/>
      <c r="I16" s="158"/>
      <c r="J16" s="158"/>
      <c r="K16" s="68"/>
      <c r="M16" s="75"/>
      <c r="N16" s="112"/>
      <c r="O16" s="112"/>
      <c r="P16" s="112"/>
    </row>
    <row r="17" spans="1:18" ht="15.75">
      <c r="A17" s="172"/>
      <c r="B17" s="125" t="s">
        <v>247</v>
      </c>
      <c r="C17" s="138">
        <v>0.21299999999999999</v>
      </c>
      <c r="D17" s="130" t="s">
        <v>221</v>
      </c>
      <c r="F17" s="157"/>
      <c r="G17" s="113"/>
      <c r="H17" s="158"/>
      <c r="I17" s="158"/>
      <c r="J17" s="158"/>
      <c r="K17" s="98"/>
      <c r="M17" s="75"/>
      <c r="N17" s="139"/>
      <c r="O17" s="139"/>
      <c r="P17" s="139"/>
    </row>
    <row r="18" spans="1:18" ht="16.5" thickBot="1">
      <c r="A18" s="173"/>
      <c r="B18" s="131" t="s">
        <v>249</v>
      </c>
      <c r="C18" s="132">
        <f>Icoilrms^2*Rdcrcoil</f>
        <v>0.6687554372354968</v>
      </c>
      <c r="D18" s="133" t="s">
        <v>11</v>
      </c>
      <c r="F18" s="157"/>
      <c r="G18" s="113"/>
      <c r="H18" s="158"/>
      <c r="I18" s="158"/>
      <c r="J18" s="158"/>
      <c r="K18" s="68"/>
      <c r="M18" s="75"/>
      <c r="N18" s="112"/>
      <c r="O18" s="112"/>
      <c r="P18" s="112"/>
    </row>
    <row r="19" spans="1:18" ht="15.75">
      <c r="A19" s="171" t="s">
        <v>252</v>
      </c>
      <c r="B19" s="122" t="s">
        <v>253</v>
      </c>
      <c r="C19" s="137">
        <f>Iswitchrmspfc</f>
        <v>1.5293112152549788</v>
      </c>
      <c r="D19" s="140" t="s">
        <v>12</v>
      </c>
      <c r="F19" s="157"/>
      <c r="G19" s="113"/>
      <c r="H19" s="158"/>
      <c r="I19" s="158"/>
      <c r="J19" s="158"/>
      <c r="K19" s="98"/>
      <c r="M19" s="75"/>
      <c r="N19" s="95"/>
      <c r="O19" s="95"/>
      <c r="P19" s="95"/>
    </row>
    <row r="20" spans="1:18" ht="16.5" thickBot="1">
      <c r="A20" s="173"/>
      <c r="B20" s="131" t="s">
        <v>24</v>
      </c>
      <c r="C20" s="132">
        <f>Iswitchrmspfc^2*Rpsense*0.001</f>
        <v>0.21825827339907578</v>
      </c>
      <c r="D20" s="141" t="s">
        <v>11</v>
      </c>
      <c r="F20" s="157"/>
      <c r="G20" s="113"/>
      <c r="H20" s="159"/>
      <c r="I20" s="159"/>
      <c r="J20" s="159"/>
      <c r="K20" s="98"/>
      <c r="M20" s="75"/>
      <c r="N20" s="112"/>
      <c r="O20" s="112"/>
      <c r="P20" s="112"/>
      <c r="Q20" s="142"/>
      <c r="R20" s="142"/>
    </row>
    <row r="21" spans="1:18">
      <c r="Q21" s="142"/>
    </row>
    <row r="22" spans="1:18">
      <c r="Q22" s="95"/>
    </row>
    <row r="24" spans="1:18">
      <c r="A24" s="116"/>
    </row>
    <row r="32" spans="1:18" hidden="1">
      <c r="M32" s="48"/>
      <c r="N32" s="47">
        <v>1</v>
      </c>
      <c r="O32" s="48">
        <v>2</v>
      </c>
      <c r="P32" s="47" t="s">
        <v>262</v>
      </c>
    </row>
    <row r="33" spans="13:19" hidden="1">
      <c r="M33" s="47" t="s">
        <v>259</v>
      </c>
      <c r="N33" s="48" t="e">
        <f>Iout1/(1-Dmax)</f>
        <v>#REF!</v>
      </c>
      <c r="O33" s="48" t="e">
        <f>Iout2/(1-Dmax)</f>
        <v>#REF!</v>
      </c>
      <c r="P33" s="48" t="e">
        <f>Iaux/(1-Dmax)</f>
        <v>#REF!</v>
      </c>
    </row>
    <row r="34" spans="13:19" hidden="1">
      <c r="M34" s="47" t="s">
        <v>263</v>
      </c>
      <c r="N34" s="47" t="e">
        <f>Lpri*0.000001/NpNs1^2</f>
        <v>#DIV/0!</v>
      </c>
      <c r="O34" s="47" t="e">
        <f>Lpri*0.000001/NpNs2^2</f>
        <v>#DIV/0!</v>
      </c>
      <c r="P34" s="47" t="e">
        <f>Lpri*0.000001/NpNsaux^2</f>
        <v>#DIV/0!</v>
      </c>
    </row>
    <row r="35" spans="13:19" hidden="1">
      <c r="M35" s="47" t="s">
        <v>256</v>
      </c>
      <c r="N35" s="47" t="e">
        <f>Vwinding1/N34</f>
        <v>#REF!</v>
      </c>
      <c r="O35" s="47" t="e">
        <f>Vwinding2/O34</f>
        <v>#REF!</v>
      </c>
      <c r="P35" s="47" t="e">
        <f>Vwindingaux/P34</f>
        <v>#REF!</v>
      </c>
    </row>
    <row r="36" spans="13:19" hidden="1">
      <c r="M36" s="51" t="s">
        <v>257</v>
      </c>
      <c r="N36" s="52" t="e">
        <f>1/(fOSC*1000)</f>
        <v>#REF!</v>
      </c>
      <c r="O36" s="52" t="e">
        <f>1/(fOSC*1000)</f>
        <v>#REF!</v>
      </c>
      <c r="P36" s="52" t="e">
        <f>1/(fOSC*1000)</f>
        <v>#REF!</v>
      </c>
      <c r="R36" s="95"/>
      <c r="S36" s="113"/>
    </row>
    <row r="37" spans="13:19" hidden="1">
      <c r="M37" s="51" t="s">
        <v>258</v>
      </c>
      <c r="N37" s="52" t="e">
        <f>(1-Dmax)*N36</f>
        <v>#REF!</v>
      </c>
      <c r="O37" s="52" t="e">
        <f>(1-Dmax)*O36</f>
        <v>#REF!</v>
      </c>
      <c r="P37" s="52" t="e">
        <f>(1-Dmax)*P36</f>
        <v>#REF!</v>
      </c>
      <c r="R37" s="95"/>
      <c r="S37" s="95"/>
    </row>
    <row r="38" spans="13:19" hidden="1">
      <c r="M38" s="51" t="s">
        <v>261</v>
      </c>
      <c r="N38" s="50" t="e">
        <f>SQRT(2*N35*N37*N33)</f>
        <v>#REF!</v>
      </c>
      <c r="O38" s="50" t="e">
        <f t="shared" ref="O38:P38" si="0">SQRT(2*O35*O37*O33)</f>
        <v>#REF!</v>
      </c>
      <c r="P38" s="50" t="e">
        <f t="shared" si="0"/>
        <v>#REF!</v>
      </c>
      <c r="R38" s="95"/>
      <c r="S38" s="143"/>
    </row>
    <row r="39" spans="13:19" hidden="1">
      <c r="M39" s="51" t="s">
        <v>260</v>
      </c>
      <c r="N39" s="48" t="e">
        <f>IF(N38-N35*N37&lt;0,0,N38-N35*N37)</f>
        <v>#REF!</v>
      </c>
      <c r="O39" s="48" t="e">
        <f t="shared" ref="O39:P39" si="1">IF(O38-O35*O37&lt;0,0,O38-O35*O37)</f>
        <v>#REF!</v>
      </c>
      <c r="P39" s="48" t="e">
        <f t="shared" si="1"/>
        <v>#REF!</v>
      </c>
    </row>
  </sheetData>
  <sheetProtection password="C582" sheet="1" objects="1" scenarios="1" selectLockedCells="1"/>
  <customSheetViews>
    <customSheetView guid="{5C4C4562-8D75-44A5-9C48-D483FC9D01A7}">
      <selection activeCell="H29" sqref="H29"/>
      <pageMargins left="0.75" right="0.75" top="1" bottom="1" header="0.5" footer="0.5"/>
      <pageSetup orientation="portrait" r:id="rId1"/>
      <headerFooter alignWithMargins="0"/>
    </customSheetView>
  </customSheetViews>
  <mergeCells count="4">
    <mergeCell ref="A9:A13"/>
    <mergeCell ref="A4:A8"/>
    <mergeCell ref="A14:A18"/>
    <mergeCell ref="A19:A20"/>
  </mergeCells>
  <phoneticPr fontId="5" type="noConversion"/>
  <pageMargins left="0.75" right="0.75" top="1" bottom="1" header="0.5" footer="0.5"/>
  <pageSetup orientation="portrait" r:id="rId2"/>
  <headerFooter alignWithMargins="0"/>
  <legacyDrawing r:id="rId3"/>
  <controls>
    <control shapeId="12296" r:id="rId4" name="CommandButton2"/>
  </controls>
</worksheet>
</file>

<file path=xl/worksheets/sheet7.xml><?xml version="1.0" encoding="utf-8"?>
<worksheet xmlns="http://schemas.openxmlformats.org/spreadsheetml/2006/main" xmlns:r="http://schemas.openxmlformats.org/officeDocument/2006/relationships">
  <sheetPr codeName="Sheet1"/>
  <dimension ref="A1:E27"/>
  <sheetViews>
    <sheetView workbookViewId="0">
      <selection activeCell="G20" sqref="G20"/>
    </sheetView>
  </sheetViews>
  <sheetFormatPr defaultRowHeight="12.75"/>
  <cols>
    <col min="1" max="1" width="14" style="14" bestFit="1" customWidth="1"/>
    <col min="2" max="16384" width="9.140625" style="14"/>
  </cols>
  <sheetData>
    <row r="1" spans="1:5">
      <c r="A1" s="12" t="s">
        <v>26</v>
      </c>
      <c r="B1" s="13"/>
      <c r="C1" s="13"/>
      <c r="D1" s="13"/>
      <c r="E1" s="13"/>
    </row>
    <row r="2" spans="1:5">
      <c r="A2" s="15" t="s">
        <v>27</v>
      </c>
      <c r="B2" s="15" t="s">
        <v>28</v>
      </c>
      <c r="C2" s="15" t="s">
        <v>29</v>
      </c>
      <c r="D2" s="15" t="s">
        <v>30</v>
      </c>
      <c r="E2" s="15" t="s">
        <v>31</v>
      </c>
    </row>
    <row r="3" spans="1:5" ht="14.25">
      <c r="A3" s="16" t="s">
        <v>34</v>
      </c>
      <c r="B3" s="17">
        <v>4.7</v>
      </c>
      <c r="C3" s="17">
        <v>5</v>
      </c>
      <c r="D3" s="17">
        <v>5.3</v>
      </c>
      <c r="E3" s="16" t="s">
        <v>6</v>
      </c>
    </row>
    <row r="4" spans="1:5" ht="14.25">
      <c r="A4" s="16" t="s">
        <v>152</v>
      </c>
      <c r="B4" s="17">
        <v>200</v>
      </c>
      <c r="C4" s="17">
        <v>250</v>
      </c>
      <c r="D4" s="17">
        <v>300</v>
      </c>
      <c r="E4" s="16" t="s">
        <v>25</v>
      </c>
    </row>
    <row r="5" spans="1:5" ht="14.25">
      <c r="A5" s="16" t="s">
        <v>35</v>
      </c>
      <c r="B5" s="17">
        <v>0.67500000000000004</v>
      </c>
      <c r="C5" s="17">
        <v>0.75</v>
      </c>
      <c r="D5" s="17">
        <v>0.82499999999999996</v>
      </c>
      <c r="E5" s="16" t="s">
        <v>6</v>
      </c>
    </row>
    <row r="6" spans="1:5" ht="14.25">
      <c r="A6" s="16" t="s">
        <v>36</v>
      </c>
      <c r="B6" s="17">
        <v>0.2</v>
      </c>
      <c r="C6" s="17">
        <v>0.25</v>
      </c>
      <c r="D6" s="17">
        <v>0.3</v>
      </c>
      <c r="E6" s="16" t="s">
        <v>6</v>
      </c>
    </row>
    <row r="7" spans="1:5" ht="14.25">
      <c r="A7" s="16" t="s">
        <v>74</v>
      </c>
      <c r="B7" s="17">
        <v>-2</v>
      </c>
      <c r="C7" s="17"/>
      <c r="D7" s="17">
        <v>3</v>
      </c>
      <c r="E7" s="16" t="s">
        <v>32</v>
      </c>
    </row>
    <row r="8" spans="1:5" ht="14.25">
      <c r="A8" s="16" t="s">
        <v>37</v>
      </c>
      <c r="B8" s="17">
        <v>2.44</v>
      </c>
      <c r="C8" s="17">
        <v>2.5</v>
      </c>
      <c r="D8" s="17">
        <v>2.54</v>
      </c>
      <c r="E8" s="16" t="s">
        <v>6</v>
      </c>
    </row>
    <row r="9" spans="1:5" ht="14.25">
      <c r="A9" s="16" t="s">
        <v>78</v>
      </c>
      <c r="B9" s="17">
        <v>0.05</v>
      </c>
      <c r="C9" s="17">
        <v>0.2</v>
      </c>
      <c r="D9" s="17">
        <v>0.45</v>
      </c>
      <c r="E9" s="18" t="s">
        <v>33</v>
      </c>
    </row>
    <row r="10" spans="1:5">
      <c r="A10" s="16" t="s">
        <v>38</v>
      </c>
      <c r="B10" s="17">
        <v>110</v>
      </c>
      <c r="C10" s="17">
        <v>220</v>
      </c>
      <c r="D10" s="17">
        <v>290</v>
      </c>
      <c r="E10" s="18" t="s">
        <v>39</v>
      </c>
    </row>
    <row r="11" spans="1:5" ht="14.25">
      <c r="A11" s="16" t="s">
        <v>273</v>
      </c>
      <c r="B11" s="17">
        <v>0.05</v>
      </c>
      <c r="C11" s="17">
        <v>0.2</v>
      </c>
      <c r="D11" s="17">
        <v>0.45</v>
      </c>
      <c r="E11" s="18" t="s">
        <v>33</v>
      </c>
    </row>
    <row r="12" spans="1:5" ht="14.25">
      <c r="A12" s="16" t="s">
        <v>40</v>
      </c>
      <c r="B12" s="17">
        <v>285</v>
      </c>
      <c r="C12" s="17">
        <v>300</v>
      </c>
      <c r="D12" s="17">
        <v>315</v>
      </c>
      <c r="E12" s="16" t="s">
        <v>25</v>
      </c>
    </row>
    <row r="13" spans="1:5" ht="14.25">
      <c r="A13" s="16" t="s">
        <v>272</v>
      </c>
      <c r="B13" s="17">
        <v>4.75</v>
      </c>
      <c r="C13" s="17">
        <v>5</v>
      </c>
      <c r="D13" s="17">
        <v>5.25</v>
      </c>
      <c r="E13" s="16" t="s">
        <v>6</v>
      </c>
    </row>
    <row r="14" spans="1:5" ht="14.25">
      <c r="A14" s="16" t="s">
        <v>151</v>
      </c>
      <c r="B14" s="17">
        <f>Vrefmin*1.04</f>
        <v>2.5375999999999999</v>
      </c>
      <c r="C14" s="17">
        <v>2.625</v>
      </c>
      <c r="D14" s="17">
        <f>Vrefmax*1.06</f>
        <v>2.6924000000000001</v>
      </c>
      <c r="E14" s="16" t="s">
        <v>6</v>
      </c>
    </row>
    <row r="15" spans="1:5" ht="14.25">
      <c r="A15" s="16" t="s">
        <v>271</v>
      </c>
      <c r="B15" s="17">
        <f>Vrefmin*1.06</f>
        <v>2.5864000000000003</v>
      </c>
      <c r="C15" s="17">
        <v>2.6749999999999998</v>
      </c>
      <c r="D15" s="17">
        <f>Vrefmax*1.08</f>
        <v>2.7432000000000003</v>
      </c>
      <c r="E15" s="16" t="s">
        <v>6</v>
      </c>
    </row>
    <row r="16" spans="1:5" ht="14.25">
      <c r="A16" s="16" t="s">
        <v>41</v>
      </c>
      <c r="B16" s="17">
        <v>285</v>
      </c>
      <c r="C16" s="17">
        <v>300</v>
      </c>
      <c r="D16" s="17">
        <v>315</v>
      </c>
      <c r="E16" s="16" t="s">
        <v>25</v>
      </c>
    </row>
    <row r="17" spans="1:5" ht="14.25">
      <c r="A17" s="16" t="s">
        <v>270</v>
      </c>
      <c r="B17" s="17">
        <f>Vrefmin*0.74</f>
        <v>1.8055999999999999</v>
      </c>
      <c r="C17" s="17">
        <v>1.9</v>
      </c>
      <c r="D17" s="17">
        <f>Vrefmax*0.78</f>
        <v>1.9812000000000001</v>
      </c>
      <c r="E17" s="16" t="s">
        <v>6</v>
      </c>
    </row>
    <row r="18" spans="1:5" ht="14.25">
      <c r="A18" s="16" t="s">
        <v>85</v>
      </c>
      <c r="B18" s="17">
        <v>16</v>
      </c>
      <c r="C18" s="17">
        <v>16</v>
      </c>
      <c r="D18" s="17">
        <v>16</v>
      </c>
      <c r="E18" s="18" t="s">
        <v>33</v>
      </c>
    </row>
    <row r="19" spans="1:5" ht="14.25">
      <c r="A19" s="16" t="s">
        <v>86</v>
      </c>
      <c r="B19" s="17">
        <v>64</v>
      </c>
      <c r="C19" s="17">
        <v>64</v>
      </c>
      <c r="D19" s="17">
        <v>64</v>
      </c>
      <c r="E19" s="18" t="s">
        <v>33</v>
      </c>
    </row>
    <row r="20" spans="1:5" ht="14.25">
      <c r="A20" s="16" t="s">
        <v>42</v>
      </c>
      <c r="B20" s="17">
        <v>-2</v>
      </c>
      <c r="C20" s="17">
        <v>-3.7</v>
      </c>
      <c r="D20" s="17">
        <v>-5</v>
      </c>
      <c r="E20" s="18" t="s">
        <v>32</v>
      </c>
    </row>
    <row r="21" spans="1:5" ht="14.25">
      <c r="A21" s="16" t="s">
        <v>56</v>
      </c>
      <c r="B21" s="17">
        <v>3</v>
      </c>
      <c r="C21" s="17">
        <v>3.7</v>
      </c>
      <c r="D21" s="17">
        <v>5</v>
      </c>
      <c r="E21" s="18" t="s">
        <v>32</v>
      </c>
    </row>
    <row r="22" spans="1:5" ht="14.25">
      <c r="A22" s="16" t="s">
        <v>72</v>
      </c>
      <c r="B22" s="17">
        <v>-0.9</v>
      </c>
      <c r="C22" s="17">
        <v>-0.7</v>
      </c>
      <c r="D22" s="17">
        <v>0</v>
      </c>
      <c r="E22" s="16" t="s">
        <v>6</v>
      </c>
    </row>
    <row r="23" spans="1:5" ht="14.25">
      <c r="A23" s="16" t="s">
        <v>73</v>
      </c>
      <c r="B23" s="17">
        <v>7.28</v>
      </c>
      <c r="C23" s="17">
        <v>7.4</v>
      </c>
      <c r="D23" s="17">
        <v>7.52</v>
      </c>
      <c r="E23" s="16" t="s">
        <v>6</v>
      </c>
    </row>
    <row r="24" spans="1:5" ht="14.25">
      <c r="A24" s="16" t="s">
        <v>79</v>
      </c>
      <c r="B24" s="17">
        <v>0.45</v>
      </c>
      <c r="C24" s="17">
        <v>0.5</v>
      </c>
      <c r="D24" s="17">
        <v>0.55000000000000004</v>
      </c>
      <c r="E24" s="16" t="s">
        <v>6</v>
      </c>
    </row>
    <row r="25" spans="1:5" ht="14.25">
      <c r="A25" s="16" t="s">
        <v>43</v>
      </c>
      <c r="B25" s="17">
        <v>21</v>
      </c>
      <c r="C25" s="17">
        <v>25</v>
      </c>
      <c r="D25" s="17">
        <v>29</v>
      </c>
      <c r="E25" s="16" t="s">
        <v>8</v>
      </c>
    </row>
    <row r="26" spans="1:5" ht="14.25">
      <c r="A26" s="16" t="s">
        <v>275</v>
      </c>
      <c r="B26" s="17">
        <v>22</v>
      </c>
      <c r="C26" s="17">
        <v>25</v>
      </c>
      <c r="D26" s="17">
        <v>29</v>
      </c>
      <c r="E26" s="16" t="s">
        <v>16</v>
      </c>
    </row>
    <row r="27" spans="1:5" ht="14.25">
      <c r="A27" s="16" t="s">
        <v>274</v>
      </c>
      <c r="B27" s="17">
        <v>5.5</v>
      </c>
      <c r="C27" s="17">
        <v>6.3</v>
      </c>
      <c r="D27" s="17">
        <v>7.3</v>
      </c>
      <c r="E27" s="16" t="s">
        <v>16</v>
      </c>
    </row>
  </sheetData>
  <customSheetViews>
    <customSheetView guid="{5C4C4562-8D75-44A5-9C48-D483FC9D01A7}" state="hidden">
      <selection activeCell="B28" sqref="B28"/>
      <pageMargins left="0.75" right="0.75" top="1" bottom="1" header="0.5" footer="0.5"/>
      <headerFooter alignWithMargins="0"/>
    </customSheetView>
  </customSheetViews>
  <phoneticPr fontId="5"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sheetPr codeName="Sheet17"/>
  <dimension ref="A1"/>
  <sheetViews>
    <sheetView workbookViewId="0">
      <selection activeCell="J56" sqref="J56"/>
    </sheetView>
  </sheetViews>
  <sheetFormatPr defaultRowHeight="12.75"/>
  <sheetData/>
  <customSheetViews>
    <customSheetView guid="{5C4C4562-8D75-44A5-9C48-D483FC9D01A7}" state="hidden">
      <selection activeCell="J54" sqref="J54"/>
      <pageMargins left="0.7" right="0.7" top="0.75" bottom="0.75" header="0.3" footer="0.3"/>
    </customSheetView>
  </customSheetView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T89"/>
  <sheetViews>
    <sheetView workbookViewId="0">
      <selection activeCell="K48" sqref="K47:K48"/>
    </sheetView>
  </sheetViews>
  <sheetFormatPr defaultRowHeight="15"/>
  <cols>
    <col min="1" max="1" width="9.7109375" bestFit="1" customWidth="1"/>
    <col min="2" max="2" width="9.5703125" style="39" bestFit="1" customWidth="1"/>
    <col min="3" max="3" width="9.7109375" style="38" bestFit="1" customWidth="1"/>
    <col min="4" max="4" width="17.5703125" style="38" bestFit="1" customWidth="1"/>
    <col min="5" max="5" width="13.28515625" style="38" customWidth="1"/>
    <col min="6" max="6" width="11.140625" bestFit="1" customWidth="1"/>
    <col min="7" max="7" width="18.85546875" bestFit="1" customWidth="1"/>
    <col min="8" max="8" width="11" bestFit="1" customWidth="1"/>
    <col min="9" max="9" width="10.5703125" bestFit="1" customWidth="1"/>
    <col min="10" max="10" width="10.28515625" bestFit="1" customWidth="1"/>
    <col min="11" max="11" width="25" bestFit="1" customWidth="1"/>
    <col min="12" max="12" width="35.5703125" bestFit="1" customWidth="1"/>
    <col min="13" max="13" width="7.140625" bestFit="1" customWidth="1"/>
  </cols>
  <sheetData>
    <row r="1" spans="1:20">
      <c r="A1" s="22" t="s">
        <v>153</v>
      </c>
      <c r="B1" s="22" t="s">
        <v>154</v>
      </c>
      <c r="C1" s="22" t="s">
        <v>155</v>
      </c>
      <c r="D1" t="s">
        <v>156</v>
      </c>
      <c r="E1" t="s">
        <v>157</v>
      </c>
      <c r="F1" s="36" t="s">
        <v>158</v>
      </c>
      <c r="G1" s="37" t="s">
        <v>159</v>
      </c>
      <c r="H1" s="37" t="s">
        <v>160</v>
      </c>
      <c r="K1" s="38"/>
      <c r="L1" s="39"/>
      <c r="M1" s="39"/>
    </row>
    <row r="2" spans="1:20">
      <c r="A2">
        <v>0.1</v>
      </c>
      <c r="B2" s="39" t="str">
        <f>IMPRODUCT(A2*2*PI(),COMPLEX(0,1))</f>
        <v>0.628318530717959i</v>
      </c>
      <c r="C2" s="40">
        <f t="shared" ref="C2:C33" si="0">20*LOG(IMABS(IMPRODUCT(K0,IMDIV(IMSUM(1,IMPRODUCT(B2,Rcbulk*0.001*Cbulk*0.000001)),IMSUM(1,IMPRODUCT(B2,(Rload*1000*Cbulk*0.000001)/2))))))</f>
        <v>51.822069540109595</v>
      </c>
      <c r="D2" s="40">
        <f>20*LOG(IMABS(IMPRODUCT(IMDIV(IMSUM(1,IMPRODUCT(B2,$L$9)),IMSUM(1,IMPRODUCT(B2,$L$10))),IMDIV(-1,IMPRODUCT(B2,$L$8)))))</f>
        <v>-11.822181346844307</v>
      </c>
      <c r="E2" s="40">
        <f>C2+D2</f>
        <v>39.999888193265292</v>
      </c>
      <c r="F2" s="40">
        <f t="shared" ref="F2:F33" si="1">DEGREES(IMARGUMENT(IMPRODUCT(K0,IMDIV(IMSUM(1,IMPRODUCT(B2,Rcbulk*0.001*Cbulk*0.000001)),IMSUM(1,IMPRODUCT(B2,(Rload*1000*Cbulk*0.000001)/2))))))</f>
        <v>-2.3946451894496068</v>
      </c>
      <c r="G2">
        <f>DEGREES(IMARGUMENT(IMPRODUCT(IMDIV(IMSUM(1,IMPRODUCT(B2,$L$9)),IMSUM(1,IMPRODUCT(B2,$L$10))),IMDIV(-1,IMPRODUCT(B2,$L$8)))))</f>
        <v>92.104831415960888</v>
      </c>
      <c r="H2" s="28">
        <f>F2+G2</f>
        <v>89.710186226511283</v>
      </c>
      <c r="M2" s="39"/>
    </row>
    <row r="3" spans="1:20">
      <c r="A3">
        <v>0.2</v>
      </c>
      <c r="B3" s="39" t="str">
        <f>IMPRODUCT(A3*2*PI(),COMPLEX(0,1))</f>
        <v>1.25663706143592i</v>
      </c>
      <c r="C3" s="40">
        <f t="shared" si="0"/>
        <v>51.799366696268734</v>
      </c>
      <c r="D3" s="40">
        <f>20*LOG(IMABS(IMPRODUCT(IMDIV(IMSUM(1,IMPRODUCT(B3,$L$9)),IMSUM(1,IMPRODUCT(B3,$L$10))),IMDIV(-1,IMPRODUCT(B3,$L$8)))))</f>
        <v>-17.820413819217599</v>
      </c>
      <c r="E3" s="40">
        <f t="shared" ref="E3:E56" si="2">C3+D3</f>
        <v>33.978952877051135</v>
      </c>
      <c r="F3" s="40">
        <f t="shared" si="1"/>
        <v>-4.780944288611459</v>
      </c>
      <c r="G3">
        <f t="shared" ref="G3:G56" si="3">DEGREES(IMARGUMENT(IMPRODUCT(IMDIV(IMSUM(1,IMPRODUCT(B3,$L$9)),IMSUM(1,IMPRODUCT(B3,$L$10))),IMDIV(-1,IMPRODUCT(B3,$L$8)))))</f>
        <v>94.201331709475767</v>
      </c>
      <c r="H3" s="28">
        <f t="shared" ref="H3:H56" si="4">F3+G3</f>
        <v>89.420387420864301</v>
      </c>
      <c r="I3" s="29"/>
      <c r="J3" s="41"/>
      <c r="K3" s="39" t="s">
        <v>154</v>
      </c>
      <c r="L3" s="39" t="str">
        <f>B3</f>
        <v>1.25663706143592i</v>
      </c>
      <c r="M3" s="39"/>
      <c r="N3" s="39"/>
    </row>
    <row r="4" spans="1:20">
      <c r="A4">
        <v>0.3</v>
      </c>
      <c r="B4" s="39" t="str">
        <f t="shared" ref="B4:B56" si="5">IMPRODUCT(A4*2*PI(),COMPLEX(0,1))</f>
        <v>1.88495559215388i</v>
      </c>
      <c r="C4" s="40">
        <f t="shared" si="0"/>
        <v>51.761790380863687</v>
      </c>
      <c r="D4" s="40">
        <f t="shared" ref="D4:D56" si="6">20*LOG(IMABS(IMPRODUCT(IMDIV(IMSUM(1,IMPRODUCT(B4,$L$9)),IMSUM(1,IMPRODUCT(B4,$L$10))),IMDIV(-1,IMPRODUCT(B4,$L$8)))))</f>
        <v>-21.305221632260146</v>
      </c>
      <c r="E4" s="40">
        <f t="shared" si="2"/>
        <v>30.456568748603541</v>
      </c>
      <c r="F4" s="40">
        <f t="shared" si="1"/>
        <v>-7.1507243679364034</v>
      </c>
      <c r="G4">
        <f t="shared" si="3"/>
        <v>96.281342914213852</v>
      </c>
      <c r="H4" s="28">
        <f t="shared" si="4"/>
        <v>89.130618546277447</v>
      </c>
      <c r="I4" s="39"/>
      <c r="J4" s="41"/>
      <c r="K4" s="39" t="s">
        <v>121</v>
      </c>
      <c r="L4" s="39">
        <f>R0*1000</f>
        <v>726809.25252525264</v>
      </c>
      <c r="M4" s="39"/>
      <c r="N4" s="39"/>
      <c r="S4" s="42" t="s">
        <v>161</v>
      </c>
      <c r="T4" s="39" t="s">
        <v>162</v>
      </c>
    </row>
    <row r="5" spans="1:20">
      <c r="A5">
        <v>0.4</v>
      </c>
      <c r="B5" s="39" t="str">
        <f t="shared" si="5"/>
        <v>2.51327412287183i</v>
      </c>
      <c r="C5" s="40">
        <f t="shared" si="0"/>
        <v>51.709723826603437</v>
      </c>
      <c r="D5" s="40">
        <f t="shared" si="6"/>
        <v>-23.752712215595288</v>
      </c>
      <c r="E5" s="40">
        <f t="shared" si="2"/>
        <v>27.957011611008149</v>
      </c>
      <c r="F5" s="40">
        <f t="shared" si="1"/>
        <v>-9.4961499349015082</v>
      </c>
      <c r="G5">
        <f t="shared" si="3"/>
        <v>98.337044491627537</v>
      </c>
      <c r="H5" s="28">
        <f t="shared" si="4"/>
        <v>88.840894556726028</v>
      </c>
      <c r="I5" s="29"/>
      <c r="J5" s="41"/>
      <c r="K5" s="39" t="s">
        <v>135</v>
      </c>
      <c r="L5" s="39">
        <f>Rcomp1*1000</f>
        <v>7788.828970121267</v>
      </c>
      <c r="M5" s="39"/>
      <c r="N5" s="39"/>
      <c r="T5" s="39" t="s">
        <v>163</v>
      </c>
    </row>
    <row r="6" spans="1:20">
      <c r="A6">
        <v>0.5</v>
      </c>
      <c r="B6" s="39" t="str">
        <f t="shared" si="5"/>
        <v>3.14159265358979i</v>
      </c>
      <c r="C6" s="40">
        <f t="shared" si="0"/>
        <v>51.643685436929722</v>
      </c>
      <c r="D6" s="40">
        <f t="shared" si="6"/>
        <v>-25.625879828843914</v>
      </c>
      <c r="E6" s="40">
        <f t="shared" si="2"/>
        <v>26.017805608085808</v>
      </c>
      <c r="F6" s="40">
        <f t="shared" si="1"/>
        <v>-11.809870280352186</v>
      </c>
      <c r="G6">
        <f t="shared" si="3"/>
        <v>100.36110067268176</v>
      </c>
      <c r="H6" s="28">
        <f t="shared" si="4"/>
        <v>88.551230392329572</v>
      </c>
      <c r="J6" s="41"/>
      <c r="K6" s="39" t="s">
        <v>133</v>
      </c>
      <c r="L6" s="39">
        <f>Ccomp1*0.000001</f>
        <v>8.5483612012248461E-6</v>
      </c>
      <c r="M6" s="39"/>
      <c r="N6" s="39"/>
    </row>
    <row r="7" spans="1:20">
      <c r="A7">
        <v>0.6</v>
      </c>
      <c r="B7" s="39" t="str">
        <f t="shared" si="5"/>
        <v>3.76991118430775i</v>
      </c>
      <c r="C7" s="40">
        <f t="shared" si="0"/>
        <v>51.564312179206894</v>
      </c>
      <c r="D7" s="40">
        <f t="shared" si="6"/>
        <v>-27.131360417005578</v>
      </c>
      <c r="E7" s="40">
        <f t="shared" si="2"/>
        <v>24.432951762201316</v>
      </c>
      <c r="F7" s="40">
        <f t="shared" si="1"/>
        <v>-14.085143402175296</v>
      </c>
      <c r="G7">
        <f t="shared" si="3"/>
        <v>102.34678437692517</v>
      </c>
      <c r="H7" s="28">
        <f t="shared" si="4"/>
        <v>88.261640974749881</v>
      </c>
      <c r="J7" s="41"/>
      <c r="K7" s="39" t="s">
        <v>138</v>
      </c>
      <c r="L7" s="39">
        <f>Ccomp2*0.000000001</f>
        <v>1.1799056398041885E-6</v>
      </c>
      <c r="M7" s="39"/>
      <c r="N7" s="39"/>
    </row>
    <row r="8" spans="1:20">
      <c r="A8">
        <v>0.7</v>
      </c>
      <c r="B8" s="39" t="str">
        <f t="shared" si="5"/>
        <v>4.39822971502571i</v>
      </c>
      <c r="C8" s="40">
        <f t="shared" si="0"/>
        <v>51.472340199030171</v>
      </c>
      <c r="D8" s="40">
        <f t="shared" si="6"/>
        <v>-28.379776147065382</v>
      </c>
      <c r="E8" s="40">
        <f t="shared" si="2"/>
        <v>23.092564051964789</v>
      </c>
      <c r="F8" s="40">
        <f t="shared" si="1"/>
        <v>-16.315932056704217</v>
      </c>
      <c r="G8">
        <f t="shared" si="3"/>
        <v>104.28807325930774</v>
      </c>
      <c r="H8" s="28">
        <f t="shared" si="4"/>
        <v>87.972141202603524</v>
      </c>
      <c r="J8" s="41"/>
      <c r="K8" s="39" t="s">
        <v>164</v>
      </c>
      <c r="L8" s="39">
        <f>L4*L6</f>
        <v>6.213028014978101</v>
      </c>
      <c r="M8" s="39"/>
      <c r="N8" s="39"/>
    </row>
    <row r="9" spans="1:20">
      <c r="A9">
        <v>0.8</v>
      </c>
      <c r="B9" s="39" t="str">
        <f t="shared" si="5"/>
        <v>5.02654824574367i</v>
      </c>
      <c r="C9" s="40">
        <f t="shared" si="0"/>
        <v>51.368583819308462</v>
      </c>
      <c r="D9" s="40">
        <f t="shared" si="6"/>
        <v>-29.437533393514983</v>
      </c>
      <c r="E9" s="40">
        <f t="shared" si="2"/>
        <v>21.93105042579348</v>
      </c>
      <c r="F9" s="40">
        <f t="shared" si="1"/>
        <v>-18.496969745876928</v>
      </c>
      <c r="G9">
        <f t="shared" si="3"/>
        <v>106.17971569276848</v>
      </c>
      <c r="H9" s="28">
        <f t="shared" si="4"/>
        <v>87.682745946891558</v>
      </c>
      <c r="J9" s="41"/>
      <c r="K9" s="39" t="s">
        <v>165</v>
      </c>
      <c r="L9" s="39">
        <f>L6*L5</f>
        <v>6.6581723371160709E-2</v>
      </c>
      <c r="M9" s="39"/>
      <c r="N9" s="39"/>
    </row>
    <row r="10" spans="1:20">
      <c r="A10">
        <v>0.9</v>
      </c>
      <c r="B10" s="39" t="str">
        <f t="shared" si="5"/>
        <v>5.65486677646163i</v>
      </c>
      <c r="C10" s="40">
        <f t="shared" si="0"/>
        <v>51.253914066795552</v>
      </c>
      <c r="D10" s="40">
        <f t="shared" si="6"/>
        <v>-30.347811287755917</v>
      </c>
      <c r="E10" s="40">
        <f t="shared" si="2"/>
        <v>20.906102779039635</v>
      </c>
      <c r="F10" s="40">
        <f t="shared" si="1"/>
        <v>-20.623796644387987</v>
      </c>
      <c r="G10">
        <f t="shared" si="3"/>
        <v>108.01726669083882</v>
      </c>
      <c r="H10" s="28">
        <f t="shared" si="4"/>
        <v>87.39347004645083</v>
      </c>
      <c r="J10" s="41"/>
      <c r="K10" s="39" t="s">
        <v>166</v>
      </c>
      <c r="L10" s="39">
        <f>L5*(L6*L7)/(L6+L7)</f>
        <v>8.0754518967537849E-3</v>
      </c>
      <c r="M10" s="39"/>
      <c r="N10" s="39"/>
    </row>
    <row r="11" spans="1:20">
      <c r="A11">
        <v>1</v>
      </c>
      <c r="B11" s="39" t="str">
        <f t="shared" si="5"/>
        <v>6.28318530717959i</v>
      </c>
      <c r="C11" s="40">
        <f t="shared" si="0"/>
        <v>51.129237754006589</v>
      </c>
      <c r="D11" s="40">
        <f t="shared" si="6"/>
        <v>-31.140404203397051</v>
      </c>
      <c r="E11" s="40">
        <f t="shared" si="2"/>
        <v>19.988833550609538</v>
      </c>
      <c r="F11" s="40">
        <f t="shared" si="1"/>
        <v>-22.692767375714183</v>
      </c>
      <c r="G11">
        <f t="shared" si="3"/>
        <v>109.79709567914458</v>
      </c>
      <c r="H11" s="28">
        <f t="shared" si="4"/>
        <v>87.104328303430393</v>
      </c>
      <c r="J11" s="41"/>
      <c r="K11" s="39"/>
      <c r="L11" s="39" t="str">
        <f>IMPRODUCT(IMDIV(IMSUM(1,IMPRODUCT(L3,$L$9)),IMSUM(1,IMPRODUCT(L3,$L$10))),IMDIV(-1,IMPRODUCT(L3,$L$8)))</f>
        <v>-0.00941573850477753+0.128177173659536i</v>
      </c>
      <c r="M11" s="39"/>
      <c r="N11" s="39"/>
    </row>
    <row r="12" spans="1:20">
      <c r="A12">
        <v>2</v>
      </c>
      <c r="B12" s="39" t="str">
        <f t="shared" si="5"/>
        <v>12.5663706143592i</v>
      </c>
      <c r="C12" s="40">
        <f t="shared" si="0"/>
        <v>49.525044072788617</v>
      </c>
      <c r="D12" s="40">
        <f t="shared" si="6"/>
        <v>-35.59013854192338</v>
      </c>
      <c r="E12" s="40">
        <f t="shared" si="2"/>
        <v>13.934905530865237</v>
      </c>
      <c r="F12" s="40">
        <f t="shared" si="1"/>
        <v>-39.900906509231191</v>
      </c>
      <c r="G12">
        <f t="shared" si="3"/>
        <v>124.12441738643464</v>
      </c>
      <c r="H12" s="28">
        <f t="shared" si="4"/>
        <v>84.223510877203452</v>
      </c>
      <c r="J12" s="41"/>
      <c r="K12" s="42"/>
      <c r="L12" s="39">
        <f>20*LOG(IMABS(IMPRODUCT(IMDIV(IMSUM(1,IMPRODUCT(L3,$L$9)),IMSUM(1,IMPRODUCT(L3,$L$10))),IMDIV(-1,IMPRODUCT(L3,$L$8)))))</f>
        <v>-17.820413819217599</v>
      </c>
      <c r="M12" s="39"/>
      <c r="N12" s="39"/>
    </row>
    <row r="13" spans="1:20">
      <c r="A13">
        <v>3</v>
      </c>
      <c r="B13" s="39" t="str">
        <f t="shared" si="5"/>
        <v>18.8495559215388i</v>
      </c>
      <c r="C13" s="40">
        <f t="shared" si="0"/>
        <v>47.721698020659517</v>
      </c>
      <c r="D13" s="40">
        <f t="shared" si="6"/>
        <v>-37.363602366972664</v>
      </c>
      <c r="E13" s="40">
        <f t="shared" si="2"/>
        <v>10.358095653686853</v>
      </c>
      <c r="F13" s="40">
        <f t="shared" si="1"/>
        <v>-51.425515421603755</v>
      </c>
      <c r="G13">
        <f t="shared" si="3"/>
        <v>132.79746662098111</v>
      </c>
      <c r="H13" s="28">
        <f t="shared" si="4"/>
        <v>81.371951199377349</v>
      </c>
      <c r="J13" s="41"/>
      <c r="K13" s="39"/>
      <c r="L13" s="39">
        <f>DEGREES(IMARGUMENT(IMPRODUCT(IMDIV(IMSUM(1,IMPRODUCT(L3,$L$9)),IMSUM(1,IMPRODUCT(L3,$L$10))),IMDIV(-1,IMPRODUCT(L3,$L$8)))))</f>
        <v>94.201331709475767</v>
      </c>
      <c r="M13" s="39"/>
      <c r="N13" s="39"/>
    </row>
    <row r="14" spans="1:20">
      <c r="A14">
        <v>4</v>
      </c>
      <c r="B14" s="39" t="str">
        <f t="shared" si="5"/>
        <v>25.1327412287183i</v>
      </c>
      <c r="C14" s="40">
        <f t="shared" si="0"/>
        <v>46.03159538787466</v>
      </c>
      <c r="D14" s="40">
        <f t="shared" si="6"/>
        <v>-38.248101926981668</v>
      </c>
      <c r="E14" s="40">
        <f t="shared" si="2"/>
        <v>7.7834934608929913</v>
      </c>
      <c r="F14" s="40">
        <f t="shared" si="1"/>
        <v>-59.101779121644675</v>
      </c>
      <c r="G14">
        <f t="shared" si="3"/>
        <v>137.66496394789476</v>
      </c>
      <c r="H14" s="28">
        <f t="shared" si="4"/>
        <v>78.56318482625008</v>
      </c>
      <c r="I14" s="29"/>
      <c r="J14" s="41"/>
      <c r="K14" s="39"/>
      <c r="M14" s="39"/>
      <c r="N14" s="39"/>
    </row>
    <row r="15" spans="1:20">
      <c r="A15">
        <v>5</v>
      </c>
      <c r="B15" s="39" t="str">
        <f t="shared" si="5"/>
        <v>31.4159265358979i</v>
      </c>
      <c r="C15" s="40">
        <f t="shared" si="0"/>
        <v>44.525623148576578</v>
      </c>
      <c r="D15" s="40">
        <f t="shared" si="6"/>
        <v>-38.775916513790982</v>
      </c>
      <c r="E15" s="40">
        <f t="shared" si="2"/>
        <v>5.7497066347855963</v>
      </c>
      <c r="F15" s="40">
        <f t="shared" si="1"/>
        <v>-64.403750731017965</v>
      </c>
      <c r="G15">
        <f t="shared" si="3"/>
        <v>140.21327572235404</v>
      </c>
      <c r="H15" s="28">
        <f t="shared" si="4"/>
        <v>75.809524991336076</v>
      </c>
      <c r="I15" s="43"/>
      <c r="J15" s="41"/>
      <c r="K15" s="39"/>
      <c r="L15" s="39"/>
      <c r="M15" s="39"/>
      <c r="N15" s="39"/>
    </row>
    <row r="16" spans="1:20">
      <c r="A16">
        <v>6</v>
      </c>
      <c r="B16" s="39" t="str">
        <f t="shared" si="5"/>
        <v>37.6991118430775i</v>
      </c>
      <c r="C16" s="40">
        <f t="shared" si="0"/>
        <v>43.196164834710174</v>
      </c>
      <c r="D16" s="40">
        <f t="shared" si="6"/>
        <v>-39.144124305950577</v>
      </c>
      <c r="E16" s="40">
        <f t="shared" si="2"/>
        <v>4.0520405287595977</v>
      </c>
      <c r="F16" s="40">
        <f t="shared" si="1"/>
        <v>-68.223911366074915</v>
      </c>
      <c r="G16">
        <f t="shared" si="3"/>
        <v>141.34570315443202</v>
      </c>
      <c r="H16" s="28">
        <f t="shared" si="4"/>
        <v>73.1217917883571</v>
      </c>
      <c r="J16" s="41"/>
      <c r="K16" s="39"/>
      <c r="M16" s="39"/>
      <c r="N16" s="39"/>
    </row>
    <row r="17" spans="1:16">
      <c r="A17">
        <v>7</v>
      </c>
      <c r="B17" s="39" t="str">
        <f t="shared" si="5"/>
        <v>43.9822971502571i</v>
      </c>
      <c r="C17" s="40">
        <f t="shared" si="0"/>
        <v>42.017996668271948</v>
      </c>
      <c r="D17" s="40">
        <f t="shared" si="6"/>
        <v>-39.435917128527286</v>
      </c>
      <c r="E17" s="40">
        <f t="shared" si="2"/>
        <v>2.5820795397446616</v>
      </c>
      <c r="F17" s="40">
        <f t="shared" si="1"/>
        <v>-71.082918131093905</v>
      </c>
      <c r="G17">
        <f t="shared" si="3"/>
        <v>141.59205377007018</v>
      </c>
      <c r="H17" s="28">
        <f t="shared" si="4"/>
        <v>70.509135638976275</v>
      </c>
      <c r="J17" s="41"/>
      <c r="K17" s="39"/>
      <c r="L17" s="39"/>
      <c r="M17" s="39"/>
      <c r="N17" s="39"/>
      <c r="P17" s="29"/>
    </row>
    <row r="18" spans="1:16">
      <c r="A18">
        <v>8</v>
      </c>
      <c r="B18" s="39" t="str">
        <f t="shared" si="5"/>
        <v>50.2654824574367i</v>
      </c>
      <c r="C18" s="40">
        <f t="shared" si="0"/>
        <v>40.96578066035277</v>
      </c>
      <c r="D18" s="40">
        <f t="shared" si="6"/>
        <v>-39.689968569300305</v>
      </c>
      <c r="E18" s="40">
        <f t="shared" si="2"/>
        <v>1.2758120910524653</v>
      </c>
      <c r="F18" s="40">
        <f t="shared" si="1"/>
        <v>-73.29205287602926</v>
      </c>
      <c r="G18">
        <f t="shared" si="3"/>
        <v>141.27100839635884</v>
      </c>
      <c r="H18" s="28">
        <f t="shared" si="4"/>
        <v>67.978955520329578</v>
      </c>
      <c r="J18" s="41"/>
      <c r="L18" s="39"/>
      <c r="N18" s="39"/>
      <c r="P18" s="29"/>
    </row>
    <row r="19" spans="1:16">
      <c r="A19">
        <v>9</v>
      </c>
      <c r="B19" s="39" t="str">
        <f t="shared" si="5"/>
        <v>56.5486677646163i</v>
      </c>
      <c r="C19" s="40">
        <f t="shared" si="0"/>
        <v>40.018088689104985</v>
      </c>
      <c r="D19" s="40">
        <f t="shared" si="6"/>
        <v>-39.925521604499664</v>
      </c>
      <c r="E19" s="40">
        <f t="shared" si="2"/>
        <v>9.2567084605320815E-2</v>
      </c>
      <c r="F19" s="40">
        <f t="shared" si="1"/>
        <v>-75.044835434792986</v>
      </c>
      <c r="G19">
        <f t="shared" si="3"/>
        <v>140.58173917019732</v>
      </c>
      <c r="H19" s="28">
        <f t="shared" si="4"/>
        <v>65.536903735404337</v>
      </c>
      <c r="J19" s="41"/>
      <c r="K19" s="39"/>
      <c r="M19" s="39"/>
      <c r="N19" s="39"/>
      <c r="P19" s="29"/>
    </row>
    <row r="20" spans="1:16">
      <c r="A20">
        <v>10</v>
      </c>
      <c r="B20" s="39" t="str">
        <f t="shared" si="5"/>
        <v>62.8318530717959i</v>
      </c>
      <c r="C20" s="40">
        <f t="shared" si="0"/>
        <v>39.15765667800418</v>
      </c>
      <c r="D20" s="40">
        <f t="shared" si="6"/>
        <v>-40.152554257651865</v>
      </c>
      <c r="E20" s="40">
        <f t="shared" si="2"/>
        <v>-0.99489757964768444</v>
      </c>
      <c r="F20" s="40">
        <f t="shared" si="1"/>
        <v>-76.466449875682073</v>
      </c>
      <c r="G20">
        <f t="shared" si="3"/>
        <v>139.65341274351331</v>
      </c>
      <c r="H20" s="28">
        <f t="shared" si="4"/>
        <v>63.186962867831241</v>
      </c>
      <c r="J20" s="41"/>
      <c r="K20" s="39"/>
      <c r="L20" s="39"/>
      <c r="M20" s="39"/>
      <c r="N20" s="39"/>
    </row>
    <row r="21" spans="1:16">
      <c r="A21">
        <v>20</v>
      </c>
      <c r="B21" s="39" t="str">
        <f t="shared" si="5"/>
        <v>125.663706143592i</v>
      </c>
      <c r="C21" s="40">
        <f t="shared" si="0"/>
        <v>33.316809931257367</v>
      </c>
      <c r="D21" s="40">
        <f t="shared" si="6"/>
        <v>-42.411902048535396</v>
      </c>
      <c r="E21" s="40">
        <f t="shared" si="2"/>
        <v>-9.0950921172780284</v>
      </c>
      <c r="F21" s="40">
        <f t="shared" si="1"/>
        <v>-83.004425484671174</v>
      </c>
      <c r="G21">
        <f t="shared" si="3"/>
        <v>127.7638061637421</v>
      </c>
      <c r="H21" s="28">
        <f t="shared" si="4"/>
        <v>44.759380679070929</v>
      </c>
      <c r="J21" s="41"/>
      <c r="K21" s="39"/>
      <c r="L21" s="39"/>
      <c r="M21" s="39"/>
      <c r="N21" s="39"/>
    </row>
    <row r="22" spans="1:16">
      <c r="A22">
        <v>30</v>
      </c>
      <c r="B22" s="39" t="str">
        <f t="shared" si="5"/>
        <v>188.495559215388i</v>
      </c>
      <c r="C22" s="40">
        <f t="shared" si="0"/>
        <v>29.829151862231971</v>
      </c>
      <c r="D22" s="40">
        <f t="shared" si="6"/>
        <v>-44.579004254699896</v>
      </c>
      <c r="E22" s="40">
        <f t="shared" si="2"/>
        <v>-14.749852392467925</v>
      </c>
      <c r="F22" s="40">
        <f t="shared" si="1"/>
        <v>-85.174356503313177</v>
      </c>
      <c r="G22">
        <f t="shared" si="3"/>
        <v>118.7472507335583</v>
      </c>
      <c r="H22" s="28">
        <f t="shared" si="4"/>
        <v>33.572894230245126</v>
      </c>
      <c r="J22" s="41"/>
      <c r="K22" s="39"/>
      <c r="L22" s="39"/>
      <c r="M22" s="39"/>
      <c r="N22" s="39"/>
    </row>
    <row r="23" spans="1:16">
      <c r="A23">
        <v>40</v>
      </c>
      <c r="B23" s="39" t="str">
        <f t="shared" si="5"/>
        <v>251.327412287183i</v>
      </c>
      <c r="C23" s="40">
        <f t="shared" si="0"/>
        <v>27.342455463625029</v>
      </c>
      <c r="D23" s="40">
        <f t="shared" si="6"/>
        <v>-46.47550891281972</v>
      </c>
      <c r="E23" s="40">
        <f t="shared" si="2"/>
        <v>-19.133053449194691</v>
      </c>
      <c r="F23" s="40">
        <f t="shared" si="1"/>
        <v>-86.220119287072592</v>
      </c>
      <c r="G23">
        <f t="shared" si="3"/>
        <v>112.81014423253298</v>
      </c>
      <c r="H23" s="28">
        <f t="shared" si="4"/>
        <v>26.590024945460385</v>
      </c>
      <c r="J23" s="41"/>
      <c r="K23" s="39"/>
      <c r="L23" s="39"/>
      <c r="M23" s="39"/>
      <c r="N23" s="39"/>
    </row>
    <row r="24" spans="1:16">
      <c r="A24">
        <v>50</v>
      </c>
      <c r="B24" s="39" t="str">
        <f t="shared" si="5"/>
        <v>314.159265358979i</v>
      </c>
      <c r="C24" s="40">
        <f t="shared" si="0"/>
        <v>25.409918717012378</v>
      </c>
      <c r="D24" s="40">
        <f t="shared" si="6"/>
        <v>-48.102595147037988</v>
      </c>
      <c r="E24" s="40">
        <f t="shared" si="2"/>
        <v>-22.69267643002561</v>
      </c>
      <c r="F24" s="40">
        <f t="shared" si="1"/>
        <v>-86.812931163260643</v>
      </c>
      <c r="G24">
        <f t="shared" si="3"/>
        <v>108.77578072758777</v>
      </c>
      <c r="H24" s="28">
        <f t="shared" si="4"/>
        <v>21.962849564327129</v>
      </c>
      <c r="J24" s="41"/>
      <c r="K24" s="39"/>
      <c r="L24" s="39"/>
      <c r="M24" s="39"/>
      <c r="N24" s="39"/>
      <c r="P24" s="44"/>
    </row>
    <row r="25" spans="1:16">
      <c r="A25">
        <v>60</v>
      </c>
      <c r="B25" s="39" t="str">
        <f t="shared" si="5"/>
        <v>376.991118430775i</v>
      </c>
      <c r="C25" s="40">
        <f t="shared" si="0"/>
        <v>23.82943874548026</v>
      </c>
      <c r="D25" s="40">
        <f t="shared" si="6"/>
        <v>-49.507025792336563</v>
      </c>
      <c r="E25" s="40">
        <f t="shared" si="2"/>
        <v>-25.677587046856303</v>
      </c>
      <c r="F25" s="40">
        <f t="shared" si="1"/>
        <v>-87.178587444154616</v>
      </c>
      <c r="G25">
        <f t="shared" si="3"/>
        <v>105.90261967335259</v>
      </c>
      <c r="H25" s="28">
        <f t="shared" si="4"/>
        <v>18.724032229197974</v>
      </c>
      <c r="J25" s="41"/>
      <c r="K25" s="39"/>
      <c r="L25" s="39"/>
      <c r="M25" s="39"/>
      <c r="N25" s="39"/>
      <c r="P25" s="44"/>
    </row>
    <row r="26" spans="1:16">
      <c r="A26">
        <v>70</v>
      </c>
      <c r="B26" s="39" t="str">
        <f t="shared" si="5"/>
        <v>439.822971502571i</v>
      </c>
      <c r="C26" s="40">
        <f t="shared" si="0"/>
        <v>22.492468500231723</v>
      </c>
      <c r="D26" s="40">
        <f t="shared" si="6"/>
        <v>-50.734101385910137</v>
      </c>
      <c r="E26" s="40">
        <f t="shared" si="2"/>
        <v>-28.241632885678413</v>
      </c>
      <c r="F26" s="40">
        <f t="shared" si="1"/>
        <v>-87.414241033247606</v>
      </c>
      <c r="G26">
        <f t="shared" si="3"/>
        <v>103.76877152486243</v>
      </c>
      <c r="H26" s="28">
        <f t="shared" si="4"/>
        <v>16.354530491614824</v>
      </c>
      <c r="J26" s="41"/>
      <c r="K26" s="39"/>
      <c r="L26" s="39"/>
      <c r="M26" s="39"/>
      <c r="N26" s="39"/>
      <c r="P26" s="44"/>
    </row>
    <row r="27" spans="1:16">
      <c r="A27">
        <v>80</v>
      </c>
      <c r="B27" s="39" t="str">
        <f t="shared" si="5"/>
        <v>502.654824574367i</v>
      </c>
      <c r="C27" s="40">
        <f t="shared" si="0"/>
        <v>21.333975997044409</v>
      </c>
      <c r="D27" s="40">
        <f t="shared" si="6"/>
        <v>-51.819713947824809</v>
      </c>
      <c r="E27" s="40">
        <f t="shared" si="2"/>
        <v>-30.4857379507804</v>
      </c>
      <c r="F27" s="40">
        <f t="shared" si="1"/>
        <v>-87.568570814870824</v>
      </c>
      <c r="G27">
        <f t="shared" si="3"/>
        <v>102.12810931971582</v>
      </c>
      <c r="H27" s="28">
        <f t="shared" si="4"/>
        <v>14.559538504844994</v>
      </c>
      <c r="J27" s="41" t="s">
        <v>167</v>
      </c>
      <c r="K27" s="39"/>
      <c r="L27" s="39"/>
      <c r="M27" s="39"/>
      <c r="N27" s="39"/>
      <c r="P27" s="44"/>
    </row>
    <row r="28" spans="1:16">
      <c r="A28">
        <v>90</v>
      </c>
      <c r="B28" s="39" t="str">
        <f t="shared" si="5"/>
        <v>565.486677646163i</v>
      </c>
      <c r="C28" s="40">
        <f t="shared" si="0"/>
        <v>20.311920798066701</v>
      </c>
      <c r="D28" s="40">
        <f t="shared" si="6"/>
        <v>-52.791108044360527</v>
      </c>
      <c r="E28" s="40">
        <f t="shared" si="2"/>
        <v>-32.479187246293826</v>
      </c>
      <c r="F28" s="40">
        <f t="shared" si="1"/>
        <v>-87.668654927886578</v>
      </c>
      <c r="G28">
        <f t="shared" si="3"/>
        <v>100.83043856103355</v>
      </c>
      <c r="H28" s="28">
        <f t="shared" si="4"/>
        <v>13.161783633146968</v>
      </c>
      <c r="I28" s="39"/>
      <c r="J28" s="41"/>
      <c r="K28" s="39"/>
      <c r="L28" s="39"/>
      <c r="M28" s="39"/>
      <c r="N28" s="39"/>
    </row>
    <row r="29" spans="1:16">
      <c r="A29">
        <v>100</v>
      </c>
      <c r="B29" s="39" t="str">
        <f t="shared" si="5"/>
        <v>628.318530717959i</v>
      </c>
      <c r="C29" s="40">
        <f t="shared" si="0"/>
        <v>19.397556250542682</v>
      </c>
      <c r="D29" s="40">
        <f t="shared" si="6"/>
        <v>-53.668915731447626</v>
      </c>
      <c r="E29" s="40">
        <f t="shared" si="2"/>
        <v>-34.271359480904948</v>
      </c>
      <c r="F29" s="40">
        <f t="shared" si="1"/>
        <v>-87.730753745125</v>
      </c>
      <c r="G29">
        <f t="shared" si="3"/>
        <v>99.779922223126931</v>
      </c>
      <c r="H29" s="28">
        <f t="shared" si="4"/>
        <v>12.049168478001931</v>
      </c>
      <c r="J29" s="41"/>
      <c r="K29" s="39"/>
      <c r="L29" s="39"/>
      <c r="M29" s="39"/>
      <c r="N29" s="39"/>
    </row>
    <row r="30" spans="1:16">
      <c r="A30">
        <v>200</v>
      </c>
      <c r="B30" s="39" t="str">
        <f t="shared" si="5"/>
        <v>1256.63706143592i</v>
      </c>
      <c r="C30" s="40">
        <f t="shared" si="0"/>
        <v>13.38202955328488</v>
      </c>
      <c r="D30" s="40">
        <f t="shared" si="6"/>
        <v>-59.567848443249432</v>
      </c>
      <c r="E30" s="40">
        <f t="shared" si="2"/>
        <v>-46.185818889964551</v>
      </c>
      <c r="F30" s="40">
        <f t="shared" si="1"/>
        <v>-87.515833914700167</v>
      </c>
      <c r="G30">
        <f t="shared" si="3"/>
        <v>94.943138034644107</v>
      </c>
      <c r="H30" s="28">
        <f t="shared" si="4"/>
        <v>7.4273041199439405</v>
      </c>
      <c r="J30" s="41"/>
      <c r="K30" s="39"/>
      <c r="L30" s="39"/>
      <c r="M30" s="39"/>
      <c r="N30" s="39"/>
    </row>
    <row r="31" spans="1:16">
      <c r="A31">
        <v>300</v>
      </c>
      <c r="B31" s="39" t="str">
        <f t="shared" si="5"/>
        <v>1884.95559215388i</v>
      </c>
      <c r="C31" s="40">
        <f t="shared" si="0"/>
        <v>9.8658983043807886</v>
      </c>
      <c r="D31" s="40">
        <f t="shared" si="6"/>
        <v>-63.066752105045751</v>
      </c>
      <c r="E31" s="40">
        <f t="shared" si="2"/>
        <v>-53.200853800664959</v>
      </c>
      <c r="F31" s="40">
        <f t="shared" si="1"/>
        <v>-86.845478587038428</v>
      </c>
      <c r="G31">
        <f t="shared" si="3"/>
        <v>93.302125497324866</v>
      </c>
      <c r="H31" s="28">
        <f t="shared" si="4"/>
        <v>6.4566469102864374</v>
      </c>
      <c r="J31" s="41"/>
      <c r="K31" s="39"/>
      <c r="L31" s="39"/>
      <c r="M31" s="39"/>
      <c r="N31" s="39"/>
    </row>
    <row r="32" spans="1:16">
      <c r="A32">
        <v>400</v>
      </c>
      <c r="B32" s="39" t="str">
        <f t="shared" si="5"/>
        <v>2513.27412287183i</v>
      </c>
      <c r="C32" s="40">
        <f t="shared" si="0"/>
        <v>7.3747221834023504</v>
      </c>
      <c r="D32" s="40">
        <f t="shared" si="6"/>
        <v>-65.557474775586286</v>
      </c>
      <c r="E32" s="40">
        <f t="shared" si="2"/>
        <v>-58.182752592183938</v>
      </c>
      <c r="F32" s="40">
        <f t="shared" si="1"/>
        <v>-86.062335038364537</v>
      </c>
      <c r="G32">
        <f t="shared" si="3"/>
        <v>92.478360583542255</v>
      </c>
      <c r="H32" s="28">
        <f t="shared" si="4"/>
        <v>6.4160255451777175</v>
      </c>
      <c r="J32" s="41"/>
      <c r="K32" s="39"/>
      <c r="L32" s="39"/>
      <c r="M32" s="39"/>
      <c r="N32" s="39"/>
    </row>
    <row r="33" spans="1:14">
      <c r="A33">
        <v>500</v>
      </c>
      <c r="B33" s="39" t="str">
        <f t="shared" si="5"/>
        <v>3141.59265358979i</v>
      </c>
      <c r="C33" s="40">
        <f t="shared" si="0"/>
        <v>5.4461734308723173</v>
      </c>
      <c r="D33" s="40">
        <f t="shared" si="6"/>
        <v>-67.491942869628886</v>
      </c>
      <c r="E33" s="40">
        <f t="shared" si="2"/>
        <v>-62.045769438756565</v>
      </c>
      <c r="F33" s="40">
        <f t="shared" si="1"/>
        <v>-85.235304539696529</v>
      </c>
      <c r="G33">
        <f t="shared" si="3"/>
        <v>91.983343645835959</v>
      </c>
      <c r="H33" s="28">
        <f t="shared" si="4"/>
        <v>6.74803910613943</v>
      </c>
      <c r="J33" s="41"/>
      <c r="K33" s="39"/>
      <c r="L33" s="39"/>
      <c r="M33" s="39"/>
      <c r="N33" s="39"/>
    </row>
    <row r="34" spans="1:14">
      <c r="A34">
        <v>600</v>
      </c>
      <c r="B34" s="39" t="str">
        <f t="shared" si="5"/>
        <v>3769.91118430775i</v>
      </c>
      <c r="C34" s="40">
        <f t="shared" ref="C34:C56" si="7">20*LOG(IMABS(IMPRODUCT(K0,IMDIV(IMSUM(1,IMPRODUCT(B34,Rcbulk*0.001*Cbulk*0.000001)),IMSUM(1,IMPRODUCT(B34,(Rload*1000*Cbulk*0.000001)/2))))))</f>
        <v>3.874278167274138</v>
      </c>
      <c r="D34" s="40">
        <f t="shared" si="6"/>
        <v>-69.073539055710611</v>
      </c>
      <c r="E34" s="40">
        <f t="shared" si="2"/>
        <v>-65.19926088843647</v>
      </c>
      <c r="F34" s="40">
        <f t="shared" ref="F34:F56" si="8">DEGREES(IMARGUMENT(IMPRODUCT(K0,IMDIV(IMSUM(1,IMPRODUCT(B34,Rcbulk*0.001*Cbulk*0.000001)),IMSUM(1,IMPRODUCT(B34,(Rload*1000*Cbulk*0.000001)/2))))))</f>
        <v>-84.387641785239396</v>
      </c>
      <c r="G34">
        <f t="shared" si="3"/>
        <v>91.653083194746984</v>
      </c>
      <c r="H34" s="28">
        <f t="shared" si="4"/>
        <v>7.2654414095075879</v>
      </c>
      <c r="J34" s="41"/>
      <c r="K34" s="39"/>
      <c r="L34" s="39"/>
      <c r="M34" s="39"/>
      <c r="N34" s="39"/>
    </row>
    <row r="35" spans="1:14">
      <c r="A35">
        <v>700</v>
      </c>
      <c r="B35" s="39" t="str">
        <f t="shared" si="5"/>
        <v>4398.22971502571i</v>
      </c>
      <c r="C35" s="40">
        <f t="shared" si="7"/>
        <v>2.5491466307528516</v>
      </c>
      <c r="D35" s="40">
        <f t="shared" si="6"/>
        <v>-70.41125111333389</v>
      </c>
      <c r="E35" s="40">
        <f t="shared" si="2"/>
        <v>-67.862104482581032</v>
      </c>
      <c r="F35" s="40">
        <f t="shared" si="8"/>
        <v>-83.529553280813744</v>
      </c>
      <c r="G35">
        <f t="shared" si="3"/>
        <v>91.417081929923768</v>
      </c>
      <c r="H35" s="28">
        <f t="shared" si="4"/>
        <v>7.887528649110024</v>
      </c>
    </row>
    <row r="36" spans="1:14">
      <c r="A36">
        <v>800</v>
      </c>
      <c r="B36" s="39" t="str">
        <f t="shared" si="5"/>
        <v>5026.54824574367i</v>
      </c>
      <c r="C36" s="40">
        <f t="shared" si="7"/>
        <v>1.4051722590307798</v>
      </c>
      <c r="D36" s="40">
        <f t="shared" si="6"/>
        <v>-71.57029561172854</v>
      </c>
      <c r="E36" s="40">
        <f t="shared" si="2"/>
        <v>-70.165123352697762</v>
      </c>
      <c r="F36" s="40">
        <f t="shared" si="8"/>
        <v>-82.666347073992952</v>
      </c>
      <c r="G36">
        <f t="shared" si="3"/>
        <v>91.240033874474591</v>
      </c>
      <c r="H36" s="28">
        <f t="shared" si="4"/>
        <v>8.5736868004816387</v>
      </c>
    </row>
    <row r="37" spans="1:14">
      <c r="A37">
        <v>900</v>
      </c>
      <c r="B37" s="39" t="str">
        <f t="shared" si="5"/>
        <v>5654.86677646163i</v>
      </c>
      <c r="C37" s="40">
        <f t="shared" si="7"/>
        <v>0.40002666282248989</v>
      </c>
      <c r="D37" s="40">
        <f t="shared" si="6"/>
        <v>-72.592801307939638</v>
      </c>
      <c r="E37" s="40">
        <f t="shared" si="2"/>
        <v>-72.192774645117154</v>
      </c>
      <c r="F37" s="40">
        <f t="shared" si="8"/>
        <v>-81.801148756427622</v>
      </c>
      <c r="G37">
        <f t="shared" si="3"/>
        <v>91.102305475566055</v>
      </c>
      <c r="H37" s="28">
        <f t="shared" si="4"/>
        <v>9.301156719138433</v>
      </c>
    </row>
    <row r="38" spans="1:14">
      <c r="A38">
        <v>1000</v>
      </c>
      <c r="B38" s="39" t="str">
        <f t="shared" si="5"/>
        <v>6283.18530717959i</v>
      </c>
      <c r="C38" s="40">
        <f t="shared" si="7"/>
        <v>-0.49520200571611045</v>
      </c>
      <c r="D38" s="40">
        <f t="shared" si="6"/>
        <v>-73.507561417549624</v>
      </c>
      <c r="E38" s="40">
        <f t="shared" si="2"/>
        <v>-74.002763423265733</v>
      </c>
      <c r="F38" s="40">
        <f t="shared" si="8"/>
        <v>-80.935987288886253</v>
      </c>
      <c r="G38">
        <f t="shared" si="3"/>
        <v>90.992109143894908</v>
      </c>
      <c r="H38" s="28">
        <f t="shared" si="4"/>
        <v>10.056121855008655</v>
      </c>
    </row>
    <row r="39" spans="1:14">
      <c r="A39">
        <v>2000</v>
      </c>
      <c r="B39" s="39" t="str">
        <f t="shared" si="5"/>
        <v>12566.3706143592i</v>
      </c>
      <c r="C39" s="40">
        <f t="shared" si="7"/>
        <v>-6.2128649124647861</v>
      </c>
      <c r="D39" s="40">
        <f t="shared" si="6"/>
        <v>-79.526915069514985</v>
      </c>
      <c r="E39" s="40">
        <f t="shared" si="2"/>
        <v>-85.739779981979765</v>
      </c>
      <c r="F39" s="40">
        <f t="shared" si="8"/>
        <v>-72.490926490591505</v>
      </c>
      <c r="G39">
        <f t="shared" si="3"/>
        <v>90.496109284914724</v>
      </c>
      <c r="H39" s="28">
        <f t="shared" si="4"/>
        <v>18.005182794323218</v>
      </c>
    </row>
    <row r="40" spans="1:14">
      <c r="A40">
        <v>3000</v>
      </c>
      <c r="B40" s="39" t="str">
        <f t="shared" si="5"/>
        <v>18849.5559215388i</v>
      </c>
      <c r="C40" s="40">
        <f t="shared" si="7"/>
        <v>-9.2725152886261739</v>
      </c>
      <c r="D40" s="40">
        <f t="shared" si="6"/>
        <v>-83.04850942107268</v>
      </c>
      <c r="E40" s="40">
        <f t="shared" si="2"/>
        <v>-92.321024709698861</v>
      </c>
      <c r="F40" s="40">
        <f t="shared" si="8"/>
        <v>-64.722710107791258</v>
      </c>
      <c r="G40">
        <f t="shared" si="3"/>
        <v>90.330746279365442</v>
      </c>
      <c r="H40" s="28">
        <f t="shared" si="4"/>
        <v>25.608036171574184</v>
      </c>
    </row>
    <row r="41" spans="1:14">
      <c r="A41">
        <v>4000</v>
      </c>
      <c r="B41" s="39" t="str">
        <f t="shared" si="5"/>
        <v>25132.7412287183i</v>
      </c>
      <c r="C41" s="40">
        <f t="shared" si="7"/>
        <v>-11.197165664611786</v>
      </c>
      <c r="D41" s="40">
        <f t="shared" si="6"/>
        <v>-85.547203359908906</v>
      </c>
      <c r="E41" s="40">
        <f t="shared" si="2"/>
        <v>-96.744369024520694</v>
      </c>
      <c r="F41" s="40">
        <f t="shared" si="8"/>
        <v>-57.82385284298212</v>
      </c>
      <c r="G41">
        <f t="shared" si="3"/>
        <v>90.248061483075062</v>
      </c>
      <c r="H41" s="28">
        <f t="shared" si="4"/>
        <v>32.424208640092942</v>
      </c>
    </row>
    <row r="42" spans="1:14">
      <c r="A42">
        <v>5000</v>
      </c>
      <c r="B42" s="39" t="str">
        <f t="shared" si="5"/>
        <v>31415.9265358979i</v>
      </c>
      <c r="C42" s="40">
        <f t="shared" si="7"/>
        <v>-12.493737433993219</v>
      </c>
      <c r="D42" s="40">
        <f t="shared" si="6"/>
        <v>-87.485366223776282</v>
      </c>
      <c r="E42" s="40">
        <f t="shared" si="2"/>
        <v>-99.9791036577695</v>
      </c>
      <c r="F42" s="40">
        <f t="shared" si="8"/>
        <v>-51.826582394263205</v>
      </c>
      <c r="G42">
        <f t="shared" si="3"/>
        <v>90.19844984319154</v>
      </c>
      <c r="H42" s="28">
        <f t="shared" si="4"/>
        <v>38.371867448928334</v>
      </c>
    </row>
    <row r="43" spans="1:14">
      <c r="A43">
        <v>6000</v>
      </c>
      <c r="B43" s="39" t="str">
        <f t="shared" si="5"/>
        <v>37699.1118430775i</v>
      </c>
      <c r="C43" s="40">
        <f t="shared" si="7"/>
        <v>-13.40343205593725</v>
      </c>
      <c r="D43" s="40">
        <f t="shared" si="6"/>
        <v>-89.068970830553624</v>
      </c>
      <c r="E43" s="40">
        <f t="shared" si="2"/>
        <v>-102.47240288649087</v>
      </c>
      <c r="F43" s="40">
        <f t="shared" si="8"/>
        <v>-46.673366343535982</v>
      </c>
      <c r="G43">
        <f t="shared" si="3"/>
        <v>90.165375166614567</v>
      </c>
      <c r="H43" s="28">
        <f t="shared" si="4"/>
        <v>43.492008823078585</v>
      </c>
    </row>
    <row r="44" spans="1:14">
      <c r="A44">
        <v>7000</v>
      </c>
      <c r="B44" s="39" t="str">
        <f t="shared" si="5"/>
        <v>43982.2971502571i</v>
      </c>
      <c r="C44" s="40">
        <f t="shared" si="7"/>
        <v>-14.060986375085873</v>
      </c>
      <c r="D44" s="40">
        <f t="shared" si="6"/>
        <v>-90.407894374311709</v>
      </c>
      <c r="E44" s="40">
        <f t="shared" si="2"/>
        <v>-104.46888074939758</v>
      </c>
      <c r="F44" s="40">
        <f t="shared" si="8"/>
        <v>-42.265600057293391</v>
      </c>
      <c r="G44">
        <f t="shared" si="3"/>
        <v>90.141750296460714</v>
      </c>
      <c r="H44" s="28">
        <f t="shared" si="4"/>
        <v>47.876150239167323</v>
      </c>
    </row>
    <row r="45" spans="1:14">
      <c r="A45">
        <v>8000</v>
      </c>
      <c r="B45" s="39" t="str">
        <f t="shared" si="5"/>
        <v>50265.4824574367i</v>
      </c>
      <c r="C45" s="40">
        <f t="shared" si="7"/>
        <v>-14.548090910618463</v>
      </c>
      <c r="D45" s="40">
        <f t="shared" si="6"/>
        <v>-91.567725363868888</v>
      </c>
      <c r="E45" s="40">
        <f t="shared" si="2"/>
        <v>-106.11581627448734</v>
      </c>
      <c r="F45" s="40">
        <f t="shared" si="8"/>
        <v>-38.494767491600129</v>
      </c>
      <c r="G45">
        <f t="shared" si="3"/>
        <v>90.124031596661524</v>
      </c>
      <c r="H45" s="28">
        <f t="shared" si="4"/>
        <v>51.629264105061395</v>
      </c>
    </row>
    <row r="46" spans="1:14">
      <c r="A46">
        <v>9000</v>
      </c>
      <c r="B46" s="39" t="str">
        <f t="shared" si="5"/>
        <v>56548.6677646163i</v>
      </c>
      <c r="C46" s="40">
        <f t="shared" si="7"/>
        <v>-14.916706931070543</v>
      </c>
      <c r="D46" s="40">
        <f t="shared" si="6"/>
        <v>-92.59077036231642</v>
      </c>
      <c r="E46" s="40">
        <f t="shared" si="2"/>
        <v>-107.50747729338696</v>
      </c>
      <c r="F46" s="40">
        <f t="shared" si="8"/>
        <v>-35.258663823942328</v>
      </c>
      <c r="G46">
        <f t="shared" si="3"/>
        <v>90.110250361320638</v>
      </c>
      <c r="H46" s="28">
        <f t="shared" si="4"/>
        <v>54.85158653737831</v>
      </c>
    </row>
    <row r="47" spans="1:14">
      <c r="A47">
        <v>10000</v>
      </c>
      <c r="B47" s="39" t="str">
        <f t="shared" si="5"/>
        <v>62831.8530717959i</v>
      </c>
      <c r="C47" s="40">
        <f t="shared" si="7"/>
        <v>-15.200993824870398</v>
      </c>
      <c r="D47" s="40">
        <f t="shared" si="6"/>
        <v>-93.50591627481495</v>
      </c>
      <c r="E47" s="40">
        <f t="shared" si="2"/>
        <v>-108.70691009968535</v>
      </c>
      <c r="F47" s="40">
        <f t="shared" si="8"/>
        <v>-32.467940780489961</v>
      </c>
      <c r="G47">
        <f t="shared" si="3"/>
        <v>90.099225359422135</v>
      </c>
      <c r="H47" s="28">
        <f t="shared" si="4"/>
        <v>57.631284578932174</v>
      </c>
    </row>
    <row r="48" spans="1:14">
      <c r="A48">
        <v>20000</v>
      </c>
      <c r="B48" s="39" t="str">
        <f t="shared" si="5"/>
        <v>125663.706143592i</v>
      </c>
      <c r="C48" s="40">
        <f t="shared" si="7"/>
        <v>-16.259496996237992</v>
      </c>
      <c r="D48" s="40">
        <f t="shared" si="6"/>
        <v>-99.526503722442229</v>
      </c>
      <c r="E48" s="40">
        <f t="shared" si="2"/>
        <v>-115.78600071868021</v>
      </c>
      <c r="F48" s="40">
        <f t="shared" si="8"/>
        <v>-17.64993924629524</v>
      </c>
      <c r="G48">
        <f t="shared" si="3"/>
        <v>90.049612734439833</v>
      </c>
      <c r="H48" s="28">
        <f t="shared" si="4"/>
        <v>72.3996734881446</v>
      </c>
    </row>
    <row r="49" spans="1:8">
      <c r="A49">
        <v>30000</v>
      </c>
      <c r="B49" s="39" t="str">
        <f t="shared" si="5"/>
        <v>188495.559215388i</v>
      </c>
      <c r="C49" s="40">
        <f t="shared" si="7"/>
        <v>-16.487342505987876</v>
      </c>
      <c r="D49" s="40">
        <f t="shared" si="6"/>
        <v>-103.04832659509771</v>
      </c>
      <c r="E49" s="40">
        <f t="shared" si="2"/>
        <v>-119.53566910108557</v>
      </c>
      <c r="F49" s="40">
        <f t="shared" si="8"/>
        <v>-11.97624829759566</v>
      </c>
      <c r="G49">
        <f t="shared" si="3"/>
        <v>90.033075163049887</v>
      </c>
      <c r="H49" s="28">
        <f t="shared" si="4"/>
        <v>78.056826865454227</v>
      </c>
    </row>
    <row r="50" spans="1:8">
      <c r="A50">
        <v>40000</v>
      </c>
      <c r="B50" s="39" t="str">
        <f t="shared" si="5"/>
        <v>251327.412287183i</v>
      </c>
      <c r="C50" s="40">
        <f t="shared" si="7"/>
        <v>-16.56999897958293</v>
      </c>
      <c r="D50" s="40">
        <f t="shared" si="6"/>
        <v>-105.54710051930299</v>
      </c>
      <c r="E50" s="40">
        <f t="shared" si="2"/>
        <v>-122.11709949888592</v>
      </c>
      <c r="F50" s="40">
        <f t="shared" si="8"/>
        <v>-9.03963712646663</v>
      </c>
      <c r="G50">
        <f t="shared" si="3"/>
        <v>90.024806374061029</v>
      </c>
      <c r="H50" s="28">
        <f t="shared" si="4"/>
        <v>80.985169247594399</v>
      </c>
    </row>
    <row r="51" spans="1:8">
      <c r="A51">
        <v>50000</v>
      </c>
      <c r="B51" s="39" t="str">
        <f t="shared" si="5"/>
        <v>314159.265358979i</v>
      </c>
      <c r="C51" s="40">
        <f t="shared" si="7"/>
        <v>-16.608796292245632</v>
      </c>
      <c r="D51" s="40">
        <f t="shared" si="6"/>
        <v>-107.48530040549375</v>
      </c>
      <c r="E51" s="40">
        <f t="shared" si="2"/>
        <v>-124.09409669773937</v>
      </c>
      <c r="F51" s="40">
        <f t="shared" si="8"/>
        <v>-7.253343748582914</v>
      </c>
      <c r="G51">
        <f t="shared" si="3"/>
        <v>90.019845099905567</v>
      </c>
      <c r="H51" s="28">
        <f t="shared" si="4"/>
        <v>82.76650135132266</v>
      </c>
    </row>
    <row r="52" spans="1:8">
      <c r="A52">
        <v>60000</v>
      </c>
      <c r="B52" s="39" t="str">
        <f t="shared" si="5"/>
        <v>376991.118430775i</v>
      </c>
      <c r="C52" s="40">
        <f t="shared" si="7"/>
        <v>-16.630017556047932</v>
      </c>
      <c r="D52" s="40">
        <f t="shared" si="6"/>
        <v>-109.0689251233018</v>
      </c>
      <c r="E52" s="40">
        <f t="shared" si="2"/>
        <v>-125.69894267934973</v>
      </c>
      <c r="F52" s="40">
        <f t="shared" si="8"/>
        <v>-6.0543279591813111</v>
      </c>
      <c r="G52">
        <f t="shared" si="3"/>
        <v>90.016537583551937</v>
      </c>
      <c r="H52" s="28">
        <f t="shared" si="4"/>
        <v>83.96220962437063</v>
      </c>
    </row>
    <row r="53" spans="1:8">
      <c r="A53">
        <v>70000</v>
      </c>
      <c r="B53" s="39" t="str">
        <f t="shared" si="5"/>
        <v>439822.971502571i</v>
      </c>
      <c r="C53" s="40">
        <f t="shared" si="7"/>
        <v>-16.64286360224953</v>
      </c>
      <c r="D53" s="40">
        <f t="shared" si="6"/>
        <v>-110.40786079342433</v>
      </c>
      <c r="E53" s="40">
        <f t="shared" si="2"/>
        <v>-127.05072439567387</v>
      </c>
      <c r="F53" s="40">
        <f t="shared" si="8"/>
        <v>-5.1945516738210129</v>
      </c>
      <c r="G53">
        <f t="shared" si="3"/>
        <v>90.014175071769586</v>
      </c>
      <c r="H53" s="28">
        <f t="shared" si="4"/>
        <v>84.819623397948575</v>
      </c>
    </row>
    <row r="54" spans="1:8">
      <c r="A54">
        <v>80000</v>
      </c>
      <c r="B54" s="39" t="str">
        <f t="shared" si="5"/>
        <v>502654.824574367i</v>
      </c>
      <c r="C54" s="40">
        <f t="shared" si="7"/>
        <v>-16.651221560645912</v>
      </c>
      <c r="D54" s="40">
        <f t="shared" si="6"/>
        <v>-111.56769965347755</v>
      </c>
      <c r="E54" s="40">
        <f t="shared" si="2"/>
        <v>-128.21892121412347</v>
      </c>
      <c r="F54" s="40">
        <f t="shared" si="8"/>
        <v>-4.5481533328340129</v>
      </c>
      <c r="G54">
        <f t="shared" si="3"/>
        <v>90.012403187885653</v>
      </c>
      <c r="H54" s="28">
        <f t="shared" si="4"/>
        <v>85.464249855051634</v>
      </c>
    </row>
    <row r="55" spans="1:8">
      <c r="A55">
        <v>90000</v>
      </c>
      <c r="B55" s="39" t="str">
        <f t="shared" si="5"/>
        <v>565486.677646163i</v>
      </c>
      <c r="C55" s="40">
        <f t="shared" si="7"/>
        <v>-16.656961057694197</v>
      </c>
      <c r="D55" s="40">
        <f t="shared" si="6"/>
        <v>-112.59075004791993</v>
      </c>
      <c r="E55" s="40">
        <f t="shared" si="2"/>
        <v>-129.24771110561412</v>
      </c>
      <c r="F55" s="40">
        <f t="shared" si="8"/>
        <v>-4.0445863150013945</v>
      </c>
      <c r="G55">
        <f t="shared" si="3"/>
        <v>90.011025055951535</v>
      </c>
      <c r="H55" s="28">
        <f t="shared" si="4"/>
        <v>85.966438740950139</v>
      </c>
    </row>
    <row r="56" spans="1:8">
      <c r="A56">
        <v>100000</v>
      </c>
      <c r="B56" s="39" t="str">
        <f t="shared" si="5"/>
        <v>628318.530717959i</v>
      </c>
      <c r="C56" s="40">
        <f t="shared" si="7"/>
        <v>-16.661071144413025</v>
      </c>
      <c r="D56" s="40">
        <f t="shared" si="6"/>
        <v>-113.50589982014608</v>
      </c>
      <c r="E56" s="40">
        <f t="shared" si="2"/>
        <v>-130.16697096455911</v>
      </c>
      <c r="F56" s="40">
        <f t="shared" si="8"/>
        <v>-3.6412773066927651</v>
      </c>
      <c r="G56">
        <f t="shared" si="3"/>
        <v>90.009922550390627</v>
      </c>
      <c r="H56" s="28">
        <f t="shared" si="4"/>
        <v>86.368645243697856</v>
      </c>
    </row>
    <row r="57" spans="1:8">
      <c r="A57" s="30"/>
    </row>
    <row r="58" spans="1:8">
      <c r="A58" s="30"/>
    </row>
    <row r="69" spans="3:5">
      <c r="C69" s="45"/>
      <c r="D69" s="45"/>
      <c r="E69" s="45"/>
    </row>
    <row r="81" spans="3:14">
      <c r="D81" s="46"/>
      <c r="E81" s="46"/>
    </row>
    <row r="84" spans="3:14">
      <c r="C84" s="45"/>
      <c r="D84" s="45"/>
      <c r="E84" s="45"/>
    </row>
    <row r="89" spans="3:14">
      <c r="J89" s="41"/>
      <c r="K89" s="39"/>
      <c r="L89" s="39"/>
      <c r="M89" s="39"/>
      <c r="N89" s="39"/>
    </row>
  </sheetData>
  <customSheetViews>
    <customSheetView guid="{5C4C4562-8D75-44A5-9C48-D483FC9D01A7}" state="hidden" topLeftCell="A2">
      <selection activeCell="K48" sqref="K47:K48"/>
      <pageMargins left="0.7" right="0.7" top="0.75" bottom="0.75" header="0.3" footer="0.3"/>
    </customSheetView>
  </customSheetView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3"/>
  <dimension ref="A1:J19"/>
  <sheetViews>
    <sheetView workbookViewId="0">
      <selection activeCell="B10" sqref="B10"/>
    </sheetView>
  </sheetViews>
  <sheetFormatPr defaultRowHeight="12.75"/>
  <cols>
    <col min="1" max="1" width="16.140625" customWidth="1"/>
  </cols>
  <sheetData>
    <row r="1" spans="1:10">
      <c r="A1" s="1" t="s">
        <v>70</v>
      </c>
      <c r="C1" s="2"/>
    </row>
    <row r="2" spans="1:10">
      <c r="A2" s="1" t="s">
        <v>48</v>
      </c>
      <c r="C2" s="2"/>
    </row>
    <row r="3" spans="1:10">
      <c r="A3" s="1"/>
      <c r="C3" s="2"/>
    </row>
    <row r="4" spans="1:10" ht="15.75">
      <c r="A4" s="9" t="s">
        <v>47</v>
      </c>
      <c r="B4" s="19">
        <f>Vacmin^2*(Vbulk/SQRT(2)-Vacmin)*Peff/(Vbulk*Pout*fswmin*1000*SQRT(2))*1000000</f>
        <v>387.45341840146102</v>
      </c>
      <c r="C4" s="4" t="s">
        <v>13</v>
      </c>
      <c r="D4" s="1" t="s">
        <v>46</v>
      </c>
      <c r="J4" s="6"/>
    </row>
    <row r="5" spans="1:10" ht="15.75">
      <c r="A5" s="9" t="s">
        <v>47</v>
      </c>
      <c r="B5" s="19">
        <f>Vacmax^2*(Vbulk/SQRT(2)-Vacmax)*Peff/(Vbulk*Pout*fswmin*1000*SQRT(2))*1000000</f>
        <v>339.63638741182905</v>
      </c>
      <c r="C5" s="4" t="s">
        <v>13</v>
      </c>
      <c r="D5" s="1" t="s">
        <v>45</v>
      </c>
      <c r="J5" s="6"/>
    </row>
    <row r="6" spans="1:10">
      <c r="C6" s="5"/>
    </row>
    <row r="7" spans="1:10">
      <c r="A7" s="1" t="s">
        <v>14</v>
      </c>
      <c r="C7" s="5"/>
    </row>
    <row r="8" spans="1:10" ht="15.75">
      <c r="A8" s="3" t="s">
        <v>15</v>
      </c>
      <c r="B8" s="19">
        <f>Lboost</f>
        <v>300</v>
      </c>
      <c r="C8" s="4" t="s">
        <v>13</v>
      </c>
    </row>
    <row r="9" spans="1:10">
      <c r="A9" s="3" t="s">
        <v>52</v>
      </c>
      <c r="B9" s="19">
        <f>Ltol/100</f>
        <v>0.1</v>
      </c>
      <c r="C9" s="2"/>
      <c r="D9" s="1" t="s">
        <v>53</v>
      </c>
    </row>
    <row r="10" spans="1:10">
      <c r="C10" s="2"/>
    </row>
    <row r="11" spans="1:10">
      <c r="A11" s="1" t="s">
        <v>49</v>
      </c>
      <c r="C11" s="2"/>
    </row>
    <row r="12" spans="1:10" ht="15.75">
      <c r="A12" s="9" t="s">
        <v>50</v>
      </c>
      <c r="B12">
        <f>Vacmin^2*Peff/(2*Lboost*(1+Ltol/100)*0.000001*Pout)*(1-Vacmin*SQRT(2)/Vbulk)*0.001</f>
        <v>58.705063394160774</v>
      </c>
      <c r="C12" s="2" t="s">
        <v>8</v>
      </c>
      <c r="D12" s="1" t="s">
        <v>54</v>
      </c>
    </row>
    <row r="13" spans="1:10" ht="15.75">
      <c r="A13" s="9" t="s">
        <v>50</v>
      </c>
      <c r="B13">
        <f>Vacmax^2*Peff/(2*Lboost*(1+Ltol/100)*0.000001*Pout)*(1-Vacmax*SQRT(2)/Vbulk)*0.001</f>
        <v>51.460058698762083</v>
      </c>
      <c r="C13" s="2" t="s">
        <v>8</v>
      </c>
      <c r="D13" s="1" t="s">
        <v>55</v>
      </c>
    </row>
    <row r="19" spans="1:1">
      <c r="A19" s="10"/>
    </row>
  </sheetData>
  <sheetProtection selectLockedCells="1"/>
  <customSheetViews>
    <customSheetView guid="{5C4C4562-8D75-44A5-9C48-D483FC9D01A7}" state="hidden">
      <selection activeCell="B10" sqref="B10"/>
      <pageMargins left="0.75" right="0.75" top="1" bottom="1" header="0.5" footer="0.5"/>
      <pageSetup orientation="portrait" verticalDpi="0" r:id="rId1"/>
      <headerFooter alignWithMargins="0"/>
    </customSheetView>
  </customSheetViews>
  <phoneticPr fontId="5" type="noConversion"/>
  <conditionalFormatting sqref="B12">
    <cfRule type="cellIs" dxfId="7" priority="1" stopIfTrue="1" operator="greaterThanOrEqual">
      <formula>fswmin</formula>
    </cfRule>
    <cfRule type="cellIs" dxfId="6" priority="2" stopIfTrue="1" operator="lessThan">
      <formula>fswmin</formula>
    </cfRule>
  </conditionalFormatting>
  <conditionalFormatting sqref="B13">
    <cfRule type="cellIs" dxfId="5" priority="3" stopIfTrue="1" operator="greaterThanOrEqual">
      <formula>fswmin</formula>
    </cfRule>
    <cfRule type="cellIs" dxfId="4" priority="4" stopIfTrue="1" operator="lessThan">
      <formula>fswmin</formula>
    </cfRule>
  </conditionalFormatting>
  <pageMargins left="0.75" right="0.75" top="1" bottom="1" header="0.5" footer="0.5"/>
  <pageSetup orientation="portrait" verticalDpi="0" r:id="rId2"/>
  <headerFooter alignWithMargins="0"/>
</worksheet>
</file>

<file path=xl/worksheets/sheet11.xml><?xml version="1.0" encoding="utf-8"?>
<worksheet xmlns="http://schemas.openxmlformats.org/spreadsheetml/2006/main" xmlns:r="http://schemas.openxmlformats.org/officeDocument/2006/relationships">
  <sheetPr codeName="Sheet15"/>
  <dimension ref="A1:D12"/>
  <sheetViews>
    <sheetView workbookViewId="0">
      <selection activeCell="E16" sqref="D15:E16"/>
    </sheetView>
  </sheetViews>
  <sheetFormatPr defaultRowHeight="12.75"/>
  <cols>
    <col min="1" max="1" width="10.5703125" customWidth="1"/>
  </cols>
  <sheetData>
    <row r="1" spans="1:4">
      <c r="A1" s="1" t="s">
        <v>20</v>
      </c>
      <c r="C1" s="2"/>
    </row>
    <row r="2" spans="1:4">
      <c r="A2" s="7" t="s">
        <v>57</v>
      </c>
      <c r="C2" s="2"/>
    </row>
    <row r="3" spans="1:4" ht="15.75">
      <c r="A3" s="3" t="s">
        <v>17</v>
      </c>
      <c r="B3" s="19">
        <f>Vzcdoffmax/Ipzcdmaxpos</f>
        <v>9.3263949066095631</v>
      </c>
      <c r="C3" s="8" t="s">
        <v>18</v>
      </c>
      <c r="D3" s="1" t="s">
        <v>59</v>
      </c>
    </row>
    <row r="4" spans="1:4" ht="15.75">
      <c r="A4" s="3" t="s">
        <v>17</v>
      </c>
      <c r="B4" s="19">
        <f>Vzcdonmax/Ipzcdmaxneg</f>
        <v>18.738329701443512</v>
      </c>
      <c r="C4" s="8" t="s">
        <v>18</v>
      </c>
      <c r="D4" s="1" t="s">
        <v>58</v>
      </c>
    </row>
    <row r="5" spans="1:4">
      <c r="C5" s="2"/>
    </row>
    <row r="6" spans="1:4">
      <c r="A6" s="1" t="s">
        <v>14</v>
      </c>
      <c r="C6" s="2"/>
    </row>
    <row r="7" spans="1:4" ht="15.75">
      <c r="A7" s="3" t="s">
        <v>19</v>
      </c>
      <c r="B7" s="11">
        <f>Rzcd</f>
        <v>49.9</v>
      </c>
      <c r="C7" s="8" t="s">
        <v>18</v>
      </c>
    </row>
    <row r="8" spans="1:4">
      <c r="A8" s="3" t="s">
        <v>52</v>
      </c>
      <c r="B8" s="11">
        <f>Rzcdtol/100</f>
        <v>0.01</v>
      </c>
      <c r="C8" s="2"/>
      <c r="D8" s="10" t="s">
        <v>65</v>
      </c>
    </row>
    <row r="10" spans="1:4">
      <c r="A10" s="10" t="s">
        <v>60</v>
      </c>
    </row>
    <row r="11" spans="1:4" ht="15.75">
      <c r="A11" s="3" t="s">
        <v>61</v>
      </c>
      <c r="B11">
        <f>Vzcdoffmax/(Rzcd*(1-Rzcdtol/100))</f>
        <v>0.5663687925310964</v>
      </c>
      <c r="C11" s="4" t="s">
        <v>32</v>
      </c>
      <c r="D11" s="10" t="s">
        <v>63</v>
      </c>
    </row>
    <row r="12" spans="1:4" ht="15.75">
      <c r="A12" s="3" t="s">
        <v>62</v>
      </c>
      <c r="B12">
        <f>Vzcdonmax/(Rzcd*(1-Rzcdtol/100))</f>
        <v>-0.75862147330797003</v>
      </c>
      <c r="C12" t="s">
        <v>32</v>
      </c>
      <c r="D12" s="10" t="s">
        <v>64</v>
      </c>
    </row>
  </sheetData>
  <customSheetViews>
    <customSheetView guid="{5C4C4562-8D75-44A5-9C48-D483FC9D01A7}" state="hidden">
      <selection activeCell="F42" sqref="F42"/>
      <pageMargins left="0.75" right="0.75" top="1" bottom="1" header="0.5" footer="0.5"/>
      <headerFooter alignWithMargins="0"/>
    </customSheetView>
  </customSheetViews>
  <phoneticPr fontId="5" type="noConversion"/>
  <conditionalFormatting sqref="B11">
    <cfRule type="cellIs" dxfId="3" priority="1" stopIfTrue="1" operator="lessThanOrEqual">
      <formula>Iclposmin</formula>
    </cfRule>
    <cfRule type="cellIs" dxfId="2" priority="2" stopIfTrue="1" operator="greaterThan">
      <formula>Iclposmin</formula>
    </cfRule>
  </conditionalFormatting>
  <conditionalFormatting sqref="B12">
    <cfRule type="cellIs" dxfId="1" priority="3" stopIfTrue="1" operator="greaterThanOrEqual">
      <formula>Iclnegmin</formula>
    </cfRule>
    <cfRule type="cellIs" dxfId="0" priority="4" stopIfTrue="1" operator="lessThan">
      <formula>Iclnegmin</formula>
    </cfRule>
  </conditionalFormatting>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sheetPr codeName="Sheet19"/>
  <dimension ref="A1:P39"/>
  <sheetViews>
    <sheetView topLeftCell="A4" workbookViewId="0">
      <selection activeCell="B12" sqref="B12"/>
    </sheetView>
  </sheetViews>
  <sheetFormatPr defaultRowHeight="12.75"/>
  <cols>
    <col min="1" max="1" width="24.42578125" customWidth="1"/>
  </cols>
  <sheetData>
    <row r="1" spans="1:16">
      <c r="A1" s="1" t="s">
        <v>44</v>
      </c>
      <c r="C1" s="2"/>
    </row>
    <row r="2" spans="1:16">
      <c r="A2" s="1" t="s">
        <v>87</v>
      </c>
      <c r="C2" s="2"/>
    </row>
    <row r="3" spans="1:16" ht="15.75">
      <c r="A3" s="20" t="s">
        <v>88</v>
      </c>
      <c r="B3" s="11">
        <f>fcross</f>
        <v>10</v>
      </c>
      <c r="C3" t="s">
        <v>4</v>
      </c>
      <c r="D3" s="21" t="s">
        <v>89</v>
      </c>
    </row>
    <row r="4" spans="1:16">
      <c r="A4" s="20" t="s">
        <v>92</v>
      </c>
      <c r="B4" s="11">
        <f>PM</f>
        <v>60</v>
      </c>
      <c r="C4" t="s">
        <v>91</v>
      </c>
      <c r="D4" s="21" t="s">
        <v>90</v>
      </c>
    </row>
    <row r="5" spans="1:16" ht="15.75">
      <c r="A5" s="20" t="s">
        <v>143</v>
      </c>
      <c r="B5" s="11">
        <f>Pout</f>
        <v>120</v>
      </c>
      <c r="C5" s="2" t="s">
        <v>11</v>
      </c>
      <c r="D5" s="21" t="s">
        <v>146</v>
      </c>
    </row>
    <row r="6" spans="1:16" ht="15.75">
      <c r="A6" s="20" t="s">
        <v>150</v>
      </c>
      <c r="B6" s="32">
        <v>120</v>
      </c>
      <c r="C6" s="2" t="s">
        <v>11</v>
      </c>
      <c r="D6" s="21"/>
    </row>
    <row r="7" spans="1:16">
      <c r="A7" s="1" t="s">
        <v>116</v>
      </c>
    </row>
    <row r="8" spans="1:16">
      <c r="A8" s="22" t="s">
        <v>117</v>
      </c>
      <c r="B8">
        <f>Vbulknom</f>
        <v>399.74508888888892</v>
      </c>
      <c r="C8" t="s">
        <v>6</v>
      </c>
      <c r="M8" s="1" t="s">
        <v>26</v>
      </c>
    </row>
    <row r="9" spans="1:16">
      <c r="A9" s="22" t="s">
        <v>118</v>
      </c>
      <c r="B9" s="28">
        <f>Poutdesign/Vbulknom*1000</f>
        <v>300.1913052479166</v>
      </c>
      <c r="C9" t="s">
        <v>32</v>
      </c>
      <c r="M9" t="s">
        <v>96</v>
      </c>
      <c r="N9" s="23">
        <f>gm</f>
        <v>220</v>
      </c>
      <c r="O9" t="s">
        <v>97</v>
      </c>
      <c r="P9">
        <v>170</v>
      </c>
    </row>
    <row r="10" spans="1:16">
      <c r="A10" s="22" t="s">
        <v>119</v>
      </c>
      <c r="B10" s="29">
        <f>Vbulknom/Iout</f>
        <v>1.3316344674232141</v>
      </c>
      <c r="C10" s="22" t="s">
        <v>105</v>
      </c>
      <c r="M10" s="22" t="s">
        <v>98</v>
      </c>
      <c r="N10" s="24">
        <f>Vref</f>
        <v>2.5</v>
      </c>
      <c r="O10" t="s">
        <v>6</v>
      </c>
    </row>
    <row r="11" spans="1:16">
      <c r="A11" s="22" t="s">
        <v>120</v>
      </c>
      <c r="B11" s="33">
        <f>IF(Vindesign&lt;170, Ichargell,Ichargehl)</f>
        <v>16</v>
      </c>
      <c r="C11" s="22" t="s">
        <v>33</v>
      </c>
      <c r="M11" s="22" t="s">
        <v>99</v>
      </c>
      <c r="N11" s="24">
        <f>Ichargell</f>
        <v>16</v>
      </c>
      <c r="O11" t="s">
        <v>33</v>
      </c>
    </row>
    <row r="12" spans="1:16">
      <c r="A12" s="22" t="s">
        <v>121</v>
      </c>
      <c r="B12" s="28">
        <f>Vbulknom/(Vref*gm*0.000001)/1000</f>
        <v>726.80925252525265</v>
      </c>
      <c r="C12" s="22" t="s">
        <v>105</v>
      </c>
      <c r="M12" s="22" t="s">
        <v>100</v>
      </c>
      <c r="N12" s="24">
        <f>Ichargehl</f>
        <v>64</v>
      </c>
      <c r="O12" t="s">
        <v>33</v>
      </c>
    </row>
    <row r="13" spans="1:16">
      <c r="A13" s="22" t="s">
        <v>122</v>
      </c>
      <c r="B13" s="35">
        <f>Rload*Ct*(Vindesign^2)/(4*Lboost*Ichargecomp*Vbulknom)*1000</f>
        <v>390.37606336805555</v>
      </c>
      <c r="C13" s="22"/>
      <c r="M13" s="22" t="s">
        <v>101</v>
      </c>
      <c r="N13" s="24">
        <f>Ipfb</f>
        <v>0.2</v>
      </c>
      <c r="O13" t="s">
        <v>33</v>
      </c>
    </row>
    <row r="14" spans="1:16">
      <c r="A14" s="22" t="s">
        <v>123</v>
      </c>
      <c r="B14" s="28">
        <f>20*LOG(K0)</f>
        <v>51.829663604797105</v>
      </c>
      <c r="C14" s="22" t="s">
        <v>124</v>
      </c>
      <c r="M14" s="1"/>
    </row>
    <row r="15" spans="1:16">
      <c r="A15" s="22" t="s">
        <v>125</v>
      </c>
      <c r="B15" s="34">
        <f>1/(2*PI()*Rcbulk*Cbulk)*1000000</f>
        <v>6.366197723675814</v>
      </c>
      <c r="C15" s="22" t="s">
        <v>8</v>
      </c>
      <c r="M15" s="1" t="s">
        <v>102</v>
      </c>
    </row>
    <row r="16" spans="1:16">
      <c r="A16" s="22" t="s">
        <v>126</v>
      </c>
      <c r="B16" s="30">
        <f>1/(PI()*Rload*Cbulk)*1000</f>
        <v>2.3903698347470517</v>
      </c>
      <c r="C16" s="22" t="s">
        <v>4</v>
      </c>
      <c r="M16" s="22" t="s">
        <v>103</v>
      </c>
      <c r="N16">
        <f>Pout</f>
        <v>120</v>
      </c>
      <c r="O16" t="s">
        <v>11</v>
      </c>
    </row>
    <row r="17" spans="1:15">
      <c r="A17" s="22" t="s">
        <v>127</v>
      </c>
      <c r="B17" s="28">
        <f>1/(2*PI()*R0*Ccomp1)*1000000</f>
        <v>25.616324714488883</v>
      </c>
      <c r="C17" s="22" t="s">
        <v>128</v>
      </c>
      <c r="M17" s="22" t="s">
        <v>104</v>
      </c>
      <c r="N17" s="24">
        <f>Rpfblower</f>
        <v>27</v>
      </c>
      <c r="O17" s="22" t="s">
        <v>105</v>
      </c>
    </row>
    <row r="18" spans="1:15">
      <c r="A18" s="22" t="s">
        <v>129</v>
      </c>
      <c r="B18" s="30">
        <f>1/(2*PI()*Rcomp1*Ccomp1)*1000</f>
        <v>2.3903698347470512</v>
      </c>
      <c r="C18" s="22" t="s">
        <v>4</v>
      </c>
      <c r="M18" t="s">
        <v>106</v>
      </c>
      <c r="N18" s="25">
        <f>Rpfbupper</f>
        <v>4.2809999999999997</v>
      </c>
      <c r="O18" s="22" t="s">
        <v>107</v>
      </c>
    </row>
    <row r="19" spans="1:15">
      <c r="A19" s="31" t="s">
        <v>130</v>
      </c>
      <c r="B19" s="29">
        <f>1000*K0/(2*PI()*Ccomp1*R0)+fpolepfc-fzero1</f>
        <v>10</v>
      </c>
      <c r="C19" s="22" t="s">
        <v>4</v>
      </c>
      <c r="M19" t="s">
        <v>108</v>
      </c>
      <c r="N19" s="25">
        <f>Cbulk</f>
        <v>100</v>
      </c>
      <c r="O19" t="s">
        <v>22</v>
      </c>
    </row>
    <row r="20" spans="1:15">
      <c r="A20" s="31" t="s">
        <v>131</v>
      </c>
      <c r="B20" s="28">
        <f>90-DEGREES(ATAN(2*PI()*(1000*Ccomp1*Ccomp2/(Ccomp1*1000+Ccomp2))*0.000000001*Rcomp1*1000*fcrosstyp))</f>
        <v>63.096962941853164</v>
      </c>
      <c r="C20" s="22" t="s">
        <v>91</v>
      </c>
      <c r="M20" t="s">
        <v>109</v>
      </c>
      <c r="N20" s="25">
        <f>Rcbulk</f>
        <v>250</v>
      </c>
      <c r="O20" s="22" t="s">
        <v>110</v>
      </c>
    </row>
    <row r="21" spans="1:15">
      <c r="B21" s="29"/>
      <c r="M21" t="s">
        <v>111</v>
      </c>
      <c r="N21" s="152">
        <v>100</v>
      </c>
      <c r="O21" s="22" t="s">
        <v>71</v>
      </c>
    </row>
    <row r="22" spans="1:15" ht="15">
      <c r="A22" s="22" t="s">
        <v>132</v>
      </c>
      <c r="B22" s="29">
        <f>(K0/(2*PI()*fcross*R0))*1000</f>
        <v>8.5483612012248464</v>
      </c>
      <c r="C22" t="s">
        <v>22</v>
      </c>
      <c r="E22" s="22" t="s">
        <v>122</v>
      </c>
      <c r="F22">
        <f>K0</f>
        <v>390.37606336805555</v>
      </c>
      <c r="G22" s="22"/>
      <c r="M22" s="26" t="s">
        <v>112</v>
      </c>
      <c r="N22" s="27">
        <f>fcross</f>
        <v>10</v>
      </c>
      <c r="O22" t="s">
        <v>4</v>
      </c>
    </row>
    <row r="23" spans="1:15">
      <c r="A23" s="1" t="s">
        <v>133</v>
      </c>
      <c r="B23" s="28">
        <v>2.2000000000000002</v>
      </c>
      <c r="C23" t="s">
        <v>22</v>
      </c>
      <c r="E23" s="22" t="s">
        <v>147</v>
      </c>
      <c r="F23">
        <v>390.37606336805555</v>
      </c>
      <c r="G23" s="22"/>
      <c r="M23" t="s">
        <v>113</v>
      </c>
      <c r="N23" s="23">
        <f>Lboost</f>
        <v>300</v>
      </c>
      <c r="O23" t="s">
        <v>13</v>
      </c>
    </row>
    <row r="24" spans="1:15">
      <c r="A24" s="22" t="s">
        <v>134</v>
      </c>
      <c r="B24">
        <f>1/(2*PI()*fpolepfc*Ccomp1)*1000</f>
        <v>7.7888289701212674</v>
      </c>
      <c r="C24" s="22" t="s">
        <v>105</v>
      </c>
      <c r="E24" s="22" t="s">
        <v>148</v>
      </c>
      <c r="F24">
        <f>Cbulk</f>
        <v>100</v>
      </c>
      <c r="G24" s="22"/>
      <c r="M24" t="s">
        <v>0</v>
      </c>
      <c r="N24" s="23">
        <f>Vacmin</f>
        <v>85</v>
      </c>
      <c r="O24" s="22" t="s">
        <v>1</v>
      </c>
    </row>
    <row r="25" spans="1:15">
      <c r="A25" s="1" t="s">
        <v>135</v>
      </c>
      <c r="B25">
        <v>40.200000000000003</v>
      </c>
      <c r="C25" s="22" t="s">
        <v>105</v>
      </c>
      <c r="E25" s="22" t="s">
        <v>149</v>
      </c>
      <c r="F25">
        <v>100</v>
      </c>
      <c r="M25" t="s">
        <v>2</v>
      </c>
      <c r="N25" s="23">
        <f>Vacmax</f>
        <v>265</v>
      </c>
      <c r="O25" s="22" t="s">
        <v>1</v>
      </c>
    </row>
    <row r="26" spans="1:15">
      <c r="A26" s="22" t="s">
        <v>136</v>
      </c>
      <c r="B26">
        <f>1/(1/(TAN(RADIANS(90-PM))/(2*PI()*fcrosstyp*Rcomp1))-1/Ccomp1)*1000000</f>
        <v>1179.9056398041885</v>
      </c>
      <c r="C26" t="s">
        <v>137</v>
      </c>
      <c r="E26" s="22"/>
      <c r="M26" t="s">
        <v>114</v>
      </c>
      <c r="N26" s="23">
        <f>Vindesign</f>
        <v>150</v>
      </c>
      <c r="O26" s="22" t="s">
        <v>1</v>
      </c>
    </row>
    <row r="27" spans="1:15" ht="15">
      <c r="A27" s="1" t="s">
        <v>138</v>
      </c>
      <c r="B27">
        <v>220</v>
      </c>
      <c r="C27" t="s">
        <v>137</v>
      </c>
      <c r="E27" s="22"/>
      <c r="M27" s="26" t="s">
        <v>115</v>
      </c>
      <c r="N27" s="23">
        <f>PM</f>
        <v>60</v>
      </c>
      <c r="O27" s="22" t="s">
        <v>91</v>
      </c>
    </row>
    <row r="29" spans="1:15">
      <c r="A29" s="1" t="s">
        <v>139</v>
      </c>
    </row>
    <row r="30" spans="1:15" ht="15">
      <c r="A30" t="s">
        <v>140</v>
      </c>
      <c r="B30">
        <v>85</v>
      </c>
      <c r="C30">
        <v>150</v>
      </c>
      <c r="D30">
        <v>265</v>
      </c>
      <c r="E30">
        <v>85</v>
      </c>
      <c r="F30">
        <v>150</v>
      </c>
      <c r="G30">
        <v>265</v>
      </c>
      <c r="H30" s="26" t="s">
        <v>1</v>
      </c>
    </row>
    <row r="31" spans="1:15" ht="15">
      <c r="A31" t="s">
        <v>103</v>
      </c>
      <c r="B31">
        <f>Pout</f>
        <v>120</v>
      </c>
      <c r="C31">
        <f>Pout</f>
        <v>120</v>
      </c>
      <c r="D31">
        <f>Pout</f>
        <v>120</v>
      </c>
      <c r="E31">
        <f>Pout/3</f>
        <v>40</v>
      </c>
      <c r="F31">
        <f>Pout/3</f>
        <v>40</v>
      </c>
      <c r="G31">
        <f>Pout/3</f>
        <v>40</v>
      </c>
      <c r="H31" s="26" t="s">
        <v>11</v>
      </c>
    </row>
    <row r="32" spans="1:15" ht="15">
      <c r="A32" s="22" t="s">
        <v>118</v>
      </c>
      <c r="B32" s="28">
        <f t="shared" ref="B32:G32" si="0">B31/Vbulknom*1000</f>
        <v>300.1913052479166</v>
      </c>
      <c r="C32" s="28">
        <f t="shared" si="0"/>
        <v>300.1913052479166</v>
      </c>
      <c r="D32" s="28">
        <f t="shared" si="0"/>
        <v>300.1913052479166</v>
      </c>
      <c r="E32" s="28">
        <f t="shared" si="0"/>
        <v>100.06376841597219</v>
      </c>
      <c r="F32" s="28">
        <f t="shared" si="0"/>
        <v>100.06376841597219</v>
      </c>
      <c r="G32" s="28">
        <f t="shared" si="0"/>
        <v>100.06376841597219</v>
      </c>
      <c r="H32" s="26" t="s">
        <v>32</v>
      </c>
    </row>
    <row r="33" spans="1:15">
      <c r="A33" s="22" t="s">
        <v>119</v>
      </c>
      <c r="B33" s="29">
        <f t="shared" ref="B33:G33" si="1">Vbulknom/B32</f>
        <v>1.3316344674232141</v>
      </c>
      <c r="C33" s="29">
        <f t="shared" si="1"/>
        <v>1.3316344674232141</v>
      </c>
      <c r="D33" s="29">
        <f t="shared" si="1"/>
        <v>1.3316344674232141</v>
      </c>
      <c r="E33" s="29">
        <f t="shared" si="1"/>
        <v>3.9949034022696428</v>
      </c>
      <c r="F33" s="29">
        <f t="shared" si="1"/>
        <v>3.9949034022696428</v>
      </c>
      <c r="G33" s="29">
        <f t="shared" si="1"/>
        <v>3.9949034022696428</v>
      </c>
      <c r="H33" s="1" t="s">
        <v>105</v>
      </c>
    </row>
    <row r="34" spans="1:15" ht="15">
      <c r="A34" s="22" t="s">
        <v>120</v>
      </c>
      <c r="B34" s="29">
        <f t="shared" ref="B34:G34" si="2">IF(B30&lt;170,$N$11, $N$12)</f>
        <v>16</v>
      </c>
      <c r="C34" s="29">
        <f t="shared" si="2"/>
        <v>16</v>
      </c>
      <c r="D34" s="29">
        <f t="shared" si="2"/>
        <v>64</v>
      </c>
      <c r="E34" s="29">
        <f t="shared" si="2"/>
        <v>16</v>
      </c>
      <c r="F34" s="29">
        <f t="shared" si="2"/>
        <v>16</v>
      </c>
      <c r="G34" s="29">
        <f t="shared" si="2"/>
        <v>64</v>
      </c>
      <c r="H34" s="26" t="s">
        <v>33</v>
      </c>
    </row>
    <row r="35" spans="1:15" ht="15">
      <c r="A35" s="22" t="s">
        <v>122</v>
      </c>
      <c r="B35" s="29">
        <f t="shared" ref="B35:G35" si="3">B33*Ct*(B30^2)/(4*Lboost*B34*Vbulknom)*1000</f>
        <v>125.35409145929785</v>
      </c>
      <c r="C35" s="29">
        <f t="shared" si="3"/>
        <v>390.37606336805555</v>
      </c>
      <c r="D35" s="29">
        <f t="shared" si="3"/>
        <v>304.60176722246337</v>
      </c>
      <c r="E35" s="29">
        <f t="shared" si="3"/>
        <v>376.06227437789363</v>
      </c>
      <c r="F35" s="29">
        <f t="shared" si="3"/>
        <v>1171.1281901041671</v>
      </c>
      <c r="G35" s="29">
        <f t="shared" si="3"/>
        <v>913.80530166739027</v>
      </c>
      <c r="H35" s="26"/>
      <c r="N35" s="22" t="s">
        <v>281</v>
      </c>
    </row>
    <row r="36" spans="1:15" ht="15">
      <c r="A36" s="22" t="s">
        <v>126</v>
      </c>
      <c r="B36" s="30">
        <f t="shared" ref="B36:G36" si="4">1/(PI()*B33*Cbulk)*1000</f>
        <v>2.3903698347470517</v>
      </c>
      <c r="C36" s="30">
        <f t="shared" si="4"/>
        <v>2.3903698347470517</v>
      </c>
      <c r="D36" s="30">
        <f t="shared" si="4"/>
        <v>2.3903698347470517</v>
      </c>
      <c r="E36" s="30">
        <f t="shared" si="4"/>
        <v>0.796789944915684</v>
      </c>
      <c r="F36" s="30">
        <f t="shared" si="4"/>
        <v>0.796789944915684</v>
      </c>
      <c r="G36" s="30">
        <f t="shared" si="4"/>
        <v>0.796789944915684</v>
      </c>
      <c r="H36" s="26" t="s">
        <v>4</v>
      </c>
      <c r="N36" s="22" t="s">
        <v>282</v>
      </c>
      <c r="O36" s="39">
        <f>O37*O38/O39</f>
        <v>6.3492063492063503E-5</v>
      </c>
    </row>
    <row r="37" spans="1:15" ht="15">
      <c r="A37" t="s">
        <v>141</v>
      </c>
      <c r="B37" s="28">
        <f t="shared" ref="B37:G37" si="5">1000*B35/(2*PI()*Ccomp1*R0)+B36-fzero1</f>
        <v>3.2111111111111126</v>
      </c>
      <c r="C37" s="28">
        <f t="shared" si="5"/>
        <v>10</v>
      </c>
      <c r="D37" s="28">
        <f t="shared" si="5"/>
        <v>7.8027777777777789</v>
      </c>
      <c r="E37" s="28">
        <f t="shared" si="5"/>
        <v>8.0397534435019686</v>
      </c>
      <c r="F37" s="28">
        <f t="shared" si="5"/>
        <v>28.406420110168639</v>
      </c>
      <c r="G37" s="28">
        <f t="shared" si="5"/>
        <v>21.814753443501971</v>
      </c>
      <c r="H37" s="26" t="s">
        <v>4</v>
      </c>
      <c r="N37" s="22" t="s">
        <v>283</v>
      </c>
      <c r="O37" s="44">
        <v>1E-10</v>
      </c>
    </row>
    <row r="38" spans="1:15" ht="15">
      <c r="A38" t="s">
        <v>115</v>
      </c>
      <c r="B38" s="28">
        <f t="shared" ref="B38:G38" si="6">90-DEGREES(ATAN(2*PI()*(1000*Ccomp1*Ccomp2/(Ccomp1*1000+Ccomp2))*0.000000001*Rcomp1*1000*B37))</f>
        <v>80.746091552255194</v>
      </c>
      <c r="C38" s="28">
        <f t="shared" si="6"/>
        <v>63.096962941853164</v>
      </c>
      <c r="D38" s="28">
        <f t="shared" si="6"/>
        <v>68.400915941750554</v>
      </c>
      <c r="E38" s="28">
        <f t="shared" si="6"/>
        <v>67.807804129429712</v>
      </c>
      <c r="F38" s="28">
        <f t="shared" si="6"/>
        <v>34.753067379084221</v>
      </c>
      <c r="G38" s="28">
        <f t="shared" si="6"/>
        <v>42.096161111512941</v>
      </c>
      <c r="H38" s="26" t="s">
        <v>91</v>
      </c>
      <c r="N38" s="22" t="s">
        <v>284</v>
      </c>
      <c r="O38">
        <v>4</v>
      </c>
    </row>
    <row r="39" spans="1:15">
      <c r="B39">
        <f>90-DEGREES(ATAN(2*PI()*(1000*Ccomp1*Ccomp2/(Ccomp1*1000+Ccomp2))*0.000000001*Rcomp1*1000*fcrosstyp))</f>
        <v>63.096962941853164</v>
      </c>
      <c r="N39" s="22" t="s">
        <v>285</v>
      </c>
      <c r="O39" s="44">
        <v>6.2999999999999998E-6</v>
      </c>
    </row>
  </sheetData>
  <customSheetViews>
    <customSheetView guid="{5C4C4562-8D75-44A5-9C48-D483FC9D01A7}" state="hidden">
      <selection activeCell="B15" sqref="B15"/>
      <pageMargins left="0.7" right="0.7" top="0.75" bottom="0.75" header="0.3" footer="0.3"/>
      <pageSetup orientation="portrait" r:id="rId1"/>
    </customSheetView>
  </customSheetView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171</vt:i4>
      </vt:variant>
    </vt:vector>
  </HeadingPairs>
  <TitlesOfParts>
    <vt:vector size="183" baseType="lpstr">
      <vt:lpstr>Start</vt:lpstr>
      <vt:lpstr>Step 1</vt:lpstr>
      <vt:lpstr>Step 2</vt:lpstr>
      <vt:lpstr>Step 3</vt:lpstr>
      <vt:lpstr>Step 4</vt:lpstr>
      <vt:lpstr>Step 5</vt:lpstr>
      <vt:lpstr>IC Params</vt:lpstr>
      <vt:lpstr>Rev History</vt:lpstr>
      <vt:lpstr>Type 2 PFC Data</vt:lpstr>
      <vt:lpstr>Step 2 Calc</vt:lpstr>
      <vt:lpstr>Step 3 Calc</vt:lpstr>
      <vt:lpstr>Step 4 Calc</vt:lpstr>
      <vt:lpstr>Cbulk</vt:lpstr>
      <vt:lpstr>Cbulktol</vt:lpstr>
      <vt:lpstr>Ccomp1</vt:lpstr>
      <vt:lpstr>Ccomp2</vt:lpstr>
      <vt:lpstr>Ct</vt:lpstr>
      <vt:lpstr>CtTol</vt:lpstr>
      <vt:lpstr>deltaIpri</vt:lpstr>
      <vt:lpstr>Dmax</vt:lpstr>
      <vt:lpstr>Dmax2</vt:lpstr>
      <vt:lpstr>fcross</vt:lpstr>
      <vt:lpstr>fcrosstyp</vt:lpstr>
      <vt:lpstr>Feff</vt:lpstr>
      <vt:lpstr>Feff2</vt:lpstr>
      <vt:lpstr>fmax</vt:lpstr>
      <vt:lpstr>fmin</vt:lpstr>
      <vt:lpstr>fpolepfc</vt:lpstr>
      <vt:lpstr>fswmin</vt:lpstr>
      <vt:lpstr>Ftol</vt:lpstr>
      <vt:lpstr>Ftol2</vt:lpstr>
      <vt:lpstr>fzero1</vt:lpstr>
      <vt:lpstr>fzeroesr</vt:lpstr>
      <vt:lpstr>G0</vt:lpstr>
      <vt:lpstr>gm</vt:lpstr>
      <vt:lpstr>gmmax</vt:lpstr>
      <vt:lpstr>gmmin</vt:lpstr>
      <vt:lpstr>Ichargecomp</vt:lpstr>
      <vt:lpstr>Ichargehl</vt:lpstr>
      <vt:lpstr>Ichargehlmax</vt:lpstr>
      <vt:lpstr>Ichargehlmin</vt:lpstr>
      <vt:lpstr>Ichargell</vt:lpstr>
      <vt:lpstr>Ichargellmax</vt:lpstr>
      <vt:lpstr>Ichargellmin</vt:lpstr>
      <vt:lpstr>Ichargemax</vt:lpstr>
      <vt:lpstr>Iclnegmin</vt:lpstr>
      <vt:lpstr>Iclposmin</vt:lpstr>
      <vt:lpstr>Icoilpeak</vt:lpstr>
      <vt:lpstr>Icoilpeakmax</vt:lpstr>
      <vt:lpstr>Icoilrms</vt:lpstr>
      <vt:lpstr>Idiodepeakmaxpfc</vt:lpstr>
      <vt:lpstr>Idiodermspfc</vt:lpstr>
      <vt:lpstr>Idivider</vt:lpstr>
      <vt:lpstr>Ilboostmax</vt:lpstr>
      <vt:lpstr>Ilboostpeak</vt:lpstr>
      <vt:lpstr>Ilboostrms</vt:lpstr>
      <vt:lpstr>Imin1</vt:lpstr>
      <vt:lpstr>Imin2</vt:lpstr>
      <vt:lpstr>Iminaux</vt:lpstr>
      <vt:lpstr>Iocp</vt:lpstr>
      <vt:lpstr>Iocpmax</vt:lpstr>
      <vt:lpstr>Iocpmin</vt:lpstr>
      <vt:lpstr>Iocptyp</vt:lpstr>
      <vt:lpstr>Iout</vt:lpstr>
      <vt:lpstr>Ipeak1</vt:lpstr>
      <vt:lpstr>Ipeak2</vt:lpstr>
      <vt:lpstr>Ipeakaux</vt:lpstr>
      <vt:lpstr>Ipfb</vt:lpstr>
      <vt:lpstr>Ipfbmax</vt:lpstr>
      <vt:lpstr>Ipfbmin</vt:lpstr>
      <vt:lpstr>Ipripeak</vt:lpstr>
      <vt:lpstr>Iprirms</vt:lpstr>
      <vt:lpstr>Ipzcdmaxneg</vt:lpstr>
      <vt:lpstr>Ipzcdmaxpos</vt:lpstr>
      <vt:lpstr>Irms1</vt:lpstr>
      <vt:lpstr>Irms2</vt:lpstr>
      <vt:lpstr>Irmsaux</vt:lpstr>
      <vt:lpstr>Iskip</vt:lpstr>
      <vt:lpstr>Iswitchpeakmaxpfc</vt:lpstr>
      <vt:lpstr>Iswitchrmsfb</vt:lpstr>
      <vt:lpstr>Iswitchrmspfc</vt:lpstr>
      <vt:lpstr>K0</vt:lpstr>
      <vt:lpstr>Kclamp</vt:lpstr>
      <vt:lpstr>Kderdiode</vt:lpstr>
      <vt:lpstr>Kderdiode2</vt:lpstr>
      <vt:lpstr>Kdermos</vt:lpstr>
      <vt:lpstr>Kdermos2</vt:lpstr>
      <vt:lpstr>Ksnub</vt:lpstr>
      <vt:lpstr>Lboost</vt:lpstr>
      <vt:lpstr>Lpri</vt:lpstr>
      <vt:lpstr>Ltol</vt:lpstr>
      <vt:lpstr>NpNs1</vt:lpstr>
      <vt:lpstr>NpNs2</vt:lpstr>
      <vt:lpstr>NpNsaux</vt:lpstr>
      <vt:lpstr>Pconductionpfc</vt:lpstr>
      <vt:lpstr>Pdiodepfc</vt:lpstr>
      <vt:lpstr>Peff</vt:lpstr>
      <vt:lpstr>Peff2</vt:lpstr>
      <vt:lpstr>Pinfb</vt:lpstr>
      <vt:lpstr>Plimit</vt:lpstr>
      <vt:lpstr>PM</vt:lpstr>
      <vt:lpstr>PMtyp</vt:lpstr>
      <vt:lpstr>Pout</vt:lpstr>
      <vt:lpstr>Poutbcm</vt:lpstr>
      <vt:lpstr>Poutdesign</vt:lpstr>
      <vt:lpstr>Poutfb</vt:lpstr>
      <vt:lpstr>Poutmax</vt:lpstr>
      <vt:lpstr>Poutocp</vt:lpstr>
      <vt:lpstr>Poutpfc</vt:lpstr>
      <vt:lpstr>R0</vt:lpstr>
      <vt:lpstr>Rcbulk</vt:lpstr>
      <vt:lpstr>Rcomp1</vt:lpstr>
      <vt:lpstr>Rdcrcoil</vt:lpstr>
      <vt:lpstr>Rdcrpri</vt:lpstr>
      <vt:lpstr>Rdsonfb</vt:lpstr>
      <vt:lpstr>Rdsonpfc</vt:lpstr>
      <vt:lpstr>Rfbtol</vt:lpstr>
      <vt:lpstr>Rload</vt:lpstr>
      <vt:lpstr>Rpfblower</vt:lpstr>
      <vt:lpstr>Rpfbupper</vt:lpstr>
      <vt:lpstr>Rpsense</vt:lpstr>
      <vt:lpstr>Rpsensetol</vt:lpstr>
      <vt:lpstr>Rzcd</vt:lpstr>
      <vt:lpstr>Rzcdtol</vt:lpstr>
      <vt:lpstr>tonHL</vt:lpstr>
      <vt:lpstr>tonHLmax</vt:lpstr>
      <vt:lpstr>tonHLmin</vt:lpstr>
      <vt:lpstr>tonLL</vt:lpstr>
      <vt:lpstr>tonLLmax</vt:lpstr>
      <vt:lpstr>tonLLmin</vt:lpstr>
      <vt:lpstr>tonmaxmin</vt:lpstr>
      <vt:lpstr>tonmaxminHL</vt:lpstr>
      <vt:lpstr>Vacmax</vt:lpstr>
      <vt:lpstr>Vacmin</vt:lpstr>
      <vt:lpstr>Vbulk</vt:lpstr>
      <vt:lpstr>Vbulkmax</vt:lpstr>
      <vt:lpstr>Vbulkmin</vt:lpstr>
      <vt:lpstr>Vbulknom</vt:lpstr>
      <vt:lpstr>Vbulkripplemax</vt:lpstr>
      <vt:lpstr>Vbulkripplemin</vt:lpstr>
      <vt:lpstr>Vbvdss</vt:lpstr>
      <vt:lpstr>Vbvdssfb</vt:lpstr>
      <vt:lpstr>Vbvdsspfc</vt:lpstr>
      <vt:lpstr>Vctmax</vt:lpstr>
      <vt:lpstr>Vctmaxmax</vt:lpstr>
      <vt:lpstr>Vctmaxmin</vt:lpstr>
      <vt:lpstr>Vfwdpfc</vt:lpstr>
      <vt:lpstr>Vindesign</vt:lpstr>
      <vt:lpstr>Vinmax</vt:lpstr>
      <vt:lpstr>Vinmin</vt:lpstr>
      <vt:lpstr>Vinnom</vt:lpstr>
      <vt:lpstr>Vinstandby</vt:lpstr>
      <vt:lpstr>Vocp</vt:lpstr>
      <vt:lpstr>Vocpmax</vt:lpstr>
      <vt:lpstr>Vocpmin</vt:lpstr>
      <vt:lpstr>Vovp</vt:lpstr>
      <vt:lpstr>Vovpmax</vt:lpstr>
      <vt:lpstr>Vovpmin</vt:lpstr>
      <vt:lpstr>Vref</vt:lpstr>
      <vt:lpstr>Vrefmax</vt:lpstr>
      <vt:lpstr>Vrefmin</vt:lpstr>
      <vt:lpstr>Vripple</vt:lpstr>
      <vt:lpstr>Vrrm1</vt:lpstr>
      <vt:lpstr>Vrrm2</vt:lpstr>
      <vt:lpstr>Vrrmaux</vt:lpstr>
      <vt:lpstr>Vrrmpfc</vt:lpstr>
      <vt:lpstr>Vsovp</vt:lpstr>
      <vt:lpstr>Vsovpmax</vt:lpstr>
      <vt:lpstr>Vsovpmin</vt:lpstr>
      <vt:lpstr>Vsuvp</vt:lpstr>
      <vt:lpstr>Vsuvpmax</vt:lpstr>
      <vt:lpstr>Vsuvpmin</vt:lpstr>
      <vt:lpstr>VUVP</vt:lpstr>
      <vt:lpstr>Vuvpmax</vt:lpstr>
      <vt:lpstr>Vuvpmin</vt:lpstr>
      <vt:lpstr>Vwinding1</vt:lpstr>
      <vt:lpstr>Vwinding2</vt:lpstr>
      <vt:lpstr>Vwindingaux</vt:lpstr>
      <vt:lpstr>Vzcdhmax</vt:lpstr>
      <vt:lpstr>Vzcdoffmax</vt:lpstr>
      <vt:lpstr>Vzcdoffmin</vt:lpstr>
      <vt:lpstr>Vzcdonmax</vt:lpstr>
      <vt:lpstr>ZCDratio</vt:lpstr>
    </vt:vector>
  </TitlesOfParts>
  <Company>ON Semiconductor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 Semiconductor</dc:creator>
  <cp:lastModifiedBy>ON Semiconductor</cp:lastModifiedBy>
  <cp:lastPrinted>2012-03-01T22:49:30Z</cp:lastPrinted>
  <dcterms:created xsi:type="dcterms:W3CDTF">2010-05-20T09:10:25Z</dcterms:created>
  <dcterms:modified xsi:type="dcterms:W3CDTF">2013-06-07T17:01:01Z</dcterms:modified>
</cp:coreProperties>
</file>